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bienewzealand-my.sharepoint.com/personal/kerris_odonoghue_mbie_govt_nz/Documents/Desktop/"/>
    </mc:Choice>
  </mc:AlternateContent>
  <xr:revisionPtr revIDLastSave="0" documentId="8_{C354D29A-A034-4ADA-A257-800705613F82}" xr6:coauthVersionLast="47" xr6:coauthVersionMax="47" xr10:uidLastSave="{00000000-0000-0000-0000-000000000000}"/>
  <workbookProtection workbookAlgorithmName="SHA-512" workbookHashValue="4ZKkhdfOWqygTz+h4Y3mMI2g/q9rfioFk7ivdVHBbJGVmleub3Jb2QrkDDffEAKCQKFp1r9VmPzLZmPJzJwhdA==" workbookSaltValue="BFbkLzPHk20Qj6n3NcWFWA==" workbookSpinCount="100000" lockStructure="1"/>
  <bookViews>
    <workbookView xWindow="-120" yWindow="-120" windowWidth="29040" windowHeight="15840" xr2:uid="{655C9C6F-2917-4A65-A0B4-F60BD328FE94}"/>
  </bookViews>
  <sheets>
    <sheet name="Purpose and Disclaimer" sheetId="5" r:id="rId1"/>
    <sheet name="Key inputs and assumptions" sheetId="1" r:id="rId2"/>
    <sheet name="Forecast Income Statement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 l="1"/>
  <c r="H25" i="3" l="1"/>
  <c r="F18" i="3"/>
  <c r="G18" i="3"/>
  <c r="H18" i="3"/>
  <c r="I18" i="3"/>
  <c r="H17" i="3"/>
  <c r="I17" i="3"/>
  <c r="F26" i="3"/>
  <c r="G26" i="3"/>
  <c r="R17" i="3"/>
  <c r="Q17" i="3"/>
  <c r="P17" i="3"/>
  <c r="O17" i="3"/>
  <c r="N17" i="3"/>
  <c r="M17" i="3"/>
  <c r="L17" i="3"/>
  <c r="K17" i="3"/>
  <c r="J17" i="3"/>
  <c r="R18" i="3" l="1"/>
  <c r="Q18" i="3"/>
  <c r="P18" i="3"/>
  <c r="O18" i="3"/>
  <c r="N18" i="3"/>
  <c r="M18" i="3"/>
  <c r="L18" i="3"/>
  <c r="K18" i="3"/>
  <c r="J18" i="3"/>
  <c r="F19" i="3"/>
  <c r="E18" i="3"/>
  <c r="E19" i="3" s="1"/>
  <c r="D18" i="3"/>
  <c r="D19" i="3" s="1"/>
  <c r="E26" i="3"/>
  <c r="D26" i="3"/>
  <c r="R13" i="3"/>
  <c r="Q13" i="3"/>
  <c r="P13" i="3"/>
  <c r="O13" i="3"/>
  <c r="N13" i="3"/>
  <c r="M13" i="3"/>
  <c r="C14" i="1"/>
  <c r="D29" i="3"/>
  <c r="E29" i="3"/>
  <c r="F29" i="3"/>
  <c r="G29" i="3"/>
  <c r="H29" i="3"/>
  <c r="I29" i="3"/>
  <c r="J29" i="3"/>
  <c r="K29" i="3"/>
  <c r="L29" i="3"/>
  <c r="M29" i="3"/>
  <c r="N29" i="3"/>
  <c r="O29" i="3"/>
  <c r="P29" i="3"/>
  <c r="Q29" i="3"/>
  <c r="R29" i="3"/>
  <c r="E9" i="1"/>
  <c r="H9" i="1"/>
  <c r="D8" i="3"/>
  <c r="C20" i="1"/>
  <c r="C13" i="3"/>
  <c r="D5" i="3" l="1"/>
  <c r="D31" i="3" s="1"/>
  <c r="C22" i="1"/>
  <c r="D12" i="3"/>
  <c r="D21" i="3"/>
  <c r="I19" i="3"/>
  <c r="H19" i="3"/>
  <c r="D9" i="3"/>
  <c r="C29" i="1"/>
  <c r="G9" i="1"/>
  <c r="G19" i="3" s="1"/>
  <c r="D22" i="3" l="1"/>
  <c r="D23" i="3" s="1"/>
  <c r="E12" i="3"/>
  <c r="G12" i="3" s="1"/>
  <c r="H12" i="3" s="1"/>
  <c r="I12" i="3" s="1"/>
  <c r="J12" i="3" s="1"/>
  <c r="K12" i="3" s="1"/>
  <c r="D38" i="3"/>
  <c r="E8" i="3"/>
  <c r="D34" i="3"/>
  <c r="E21" i="3"/>
  <c r="J19" i="3"/>
  <c r="D6" i="3"/>
  <c r="E6" i="3" s="1"/>
  <c r="F6" i="3" s="1"/>
  <c r="G6" i="3" s="1"/>
  <c r="H6" i="3" s="1"/>
  <c r="I6" i="3" s="1"/>
  <c r="J6" i="3" s="1"/>
  <c r="K6" i="3" s="1"/>
  <c r="L6" i="3" s="1"/>
  <c r="M6" i="3" s="1"/>
  <c r="N6" i="3" s="1"/>
  <c r="O6" i="3" s="1"/>
  <c r="P6" i="3" s="1"/>
  <c r="Q6" i="3" s="1"/>
  <c r="R6" i="3" s="1"/>
  <c r="D35" i="3" l="1"/>
  <c r="F21" i="3"/>
  <c r="F22" i="3" s="1"/>
  <c r="F23" i="3" s="1"/>
  <c r="E22" i="3"/>
  <c r="E23" i="3" s="1"/>
  <c r="E38" i="3"/>
  <c r="F8" i="3"/>
  <c r="G8" i="3" s="1"/>
  <c r="H8" i="3" s="1"/>
  <c r="I8" i="3" s="1"/>
  <c r="J8" i="3" s="1"/>
  <c r="K8" i="3" s="1"/>
  <c r="L8" i="3" s="1"/>
  <c r="M8" i="3" s="1"/>
  <c r="N8" i="3" s="1"/>
  <c r="O8" i="3" s="1"/>
  <c r="P8" i="3" s="1"/>
  <c r="Q8" i="3" s="1"/>
  <c r="R8" i="3" s="1"/>
  <c r="E9" i="3"/>
  <c r="F38" i="3"/>
  <c r="E34" i="3"/>
  <c r="D32" i="3"/>
  <c r="K19" i="3"/>
  <c r="E32" i="3"/>
  <c r="E5" i="3"/>
  <c r="E31" i="3" s="1"/>
  <c r="D7" i="3"/>
  <c r="D33" i="3" s="1"/>
  <c r="G21" i="3" l="1"/>
  <c r="G22" i="3" s="1"/>
  <c r="G23" i="3" s="1"/>
  <c r="F9" i="3"/>
  <c r="F35" i="3" s="1"/>
  <c r="F34" i="3"/>
  <c r="G38" i="3"/>
  <c r="E35" i="3"/>
  <c r="L19" i="3"/>
  <c r="D10" i="3"/>
  <c r="D13" i="3" s="1"/>
  <c r="F32" i="3"/>
  <c r="E7" i="3"/>
  <c r="E33" i="3" s="1"/>
  <c r="F5" i="3"/>
  <c r="F31" i="3" s="1"/>
  <c r="H21" i="3" l="1"/>
  <c r="H34" i="3" s="1"/>
  <c r="G9" i="3"/>
  <c r="H9" i="3" s="1"/>
  <c r="G34" i="3"/>
  <c r="D36" i="3"/>
  <c r="D39" i="3" s="1"/>
  <c r="M19" i="3"/>
  <c r="E10" i="3"/>
  <c r="G5" i="3"/>
  <c r="G31" i="3" s="1"/>
  <c r="F7" i="3"/>
  <c r="F33" i="3" s="1"/>
  <c r="G32" i="3"/>
  <c r="H38" i="3" l="1"/>
  <c r="H22" i="3"/>
  <c r="G35" i="3"/>
  <c r="E36" i="3"/>
  <c r="E39" i="3" s="1"/>
  <c r="E13" i="3"/>
  <c r="N19" i="3"/>
  <c r="H32" i="3"/>
  <c r="F10" i="3"/>
  <c r="H5" i="3"/>
  <c r="H31" i="3" s="1"/>
  <c r="G7" i="3"/>
  <c r="G33" i="3" s="1"/>
  <c r="I9" i="3"/>
  <c r="I35" i="3" l="1"/>
  <c r="I25" i="3"/>
  <c r="J25" i="3" s="1"/>
  <c r="K25" i="3" s="1"/>
  <c r="L25" i="3" s="1"/>
  <c r="M25" i="3" s="1"/>
  <c r="N25" i="3" s="1"/>
  <c r="O25" i="3" s="1"/>
  <c r="I21" i="3"/>
  <c r="H23" i="3"/>
  <c r="H26" i="3" s="1"/>
  <c r="H35" i="3"/>
  <c r="F36" i="3"/>
  <c r="F39" i="3" s="1"/>
  <c r="F13" i="3"/>
  <c r="O19" i="3"/>
  <c r="G10" i="3"/>
  <c r="I32" i="3"/>
  <c r="I5" i="3"/>
  <c r="I31" i="3" s="1"/>
  <c r="H7" i="3"/>
  <c r="H33" i="3" s="1"/>
  <c r="J9" i="3"/>
  <c r="I22" i="3" l="1"/>
  <c r="I23" i="3" s="1"/>
  <c r="I26" i="3" s="1"/>
  <c r="I34" i="3"/>
  <c r="G36" i="3"/>
  <c r="G39" i="3" s="1"/>
  <c r="G13" i="3"/>
  <c r="P19" i="3"/>
  <c r="H10" i="3"/>
  <c r="J5" i="3"/>
  <c r="J31" i="3" s="1"/>
  <c r="I7" i="3"/>
  <c r="I33" i="3" s="1"/>
  <c r="J32" i="3"/>
  <c r="K9" i="3"/>
  <c r="J35" i="3" l="1"/>
  <c r="H36" i="3"/>
  <c r="H39" i="3" s="1"/>
  <c r="H13" i="3"/>
  <c r="Q19" i="3"/>
  <c r="R19" i="3"/>
  <c r="K32" i="3"/>
  <c r="I10" i="3"/>
  <c r="K5" i="3"/>
  <c r="K31" i="3" s="1"/>
  <c r="J7" i="3"/>
  <c r="J33" i="3" s="1"/>
  <c r="L9" i="3"/>
  <c r="I36" i="3" l="1"/>
  <c r="I13" i="3"/>
  <c r="J10" i="3"/>
  <c r="L5" i="3"/>
  <c r="L31" i="3" s="1"/>
  <c r="K7" i="3"/>
  <c r="K33" i="3" s="1"/>
  <c r="L32" i="3"/>
  <c r="M9" i="3"/>
  <c r="J13" i="3" l="1"/>
  <c r="M32" i="3"/>
  <c r="K10" i="3"/>
  <c r="M5" i="3"/>
  <c r="M31" i="3" s="1"/>
  <c r="L7" i="3"/>
  <c r="L33" i="3" s="1"/>
  <c r="N9" i="3"/>
  <c r="K13" i="3" l="1"/>
  <c r="N5" i="3"/>
  <c r="N31" i="3" s="1"/>
  <c r="M7" i="3"/>
  <c r="M33" i="3" s="1"/>
  <c r="N32" i="3"/>
  <c r="L10" i="3"/>
  <c r="O9" i="3"/>
  <c r="L13" i="3" l="1"/>
  <c r="O32" i="3"/>
  <c r="M10" i="3"/>
  <c r="O5" i="3"/>
  <c r="O31" i="3" s="1"/>
  <c r="N7" i="3"/>
  <c r="N33" i="3" s="1"/>
  <c r="P9" i="3"/>
  <c r="N10" i="3" l="1"/>
  <c r="P32" i="3"/>
  <c r="P5" i="3"/>
  <c r="P31" i="3" s="1"/>
  <c r="O7" i="3"/>
  <c r="O33" i="3" s="1"/>
  <c r="Q9" i="3"/>
  <c r="Q38" i="3" l="1"/>
  <c r="Q32" i="3"/>
  <c r="O10" i="3"/>
  <c r="Q5" i="3"/>
  <c r="Q31" i="3" s="1"/>
  <c r="P7" i="3"/>
  <c r="P33" i="3" s="1"/>
  <c r="R9" i="3"/>
  <c r="Q26" i="3" l="1"/>
  <c r="R38" i="3"/>
  <c r="P10" i="3"/>
  <c r="R5" i="3"/>
  <c r="R31" i="3" s="1"/>
  <c r="Q7" i="3"/>
  <c r="Q33" i="3" s="1"/>
  <c r="R32" i="3"/>
  <c r="Q10" i="3" l="1"/>
  <c r="R7" i="3"/>
  <c r="R33" i="3" s="1"/>
  <c r="R10" i="3" l="1"/>
  <c r="R39" i="3" l="1"/>
  <c r="R26" i="3"/>
  <c r="Q39" i="3"/>
  <c r="P26" i="3"/>
  <c r="P38" i="3"/>
  <c r="P39" i="3" s="1"/>
  <c r="J38" i="3"/>
  <c r="I38" i="3"/>
  <c r="I39" i="3" s="1"/>
  <c r="J21" i="3"/>
  <c r="J22" i="3" l="1"/>
  <c r="J23" i="3" s="1"/>
  <c r="J26" i="3" s="1"/>
  <c r="N38" i="3"/>
  <c r="O38" i="3"/>
  <c r="K21" i="3"/>
  <c r="J34" i="3"/>
  <c r="J36" i="3" l="1"/>
  <c r="J39" i="3" s="1"/>
  <c r="K38" i="3"/>
  <c r="K34" i="3"/>
  <c r="L21" i="3"/>
  <c r="K22" i="3"/>
  <c r="L38" i="3"/>
  <c r="M38" i="3"/>
  <c r="K35" i="3" l="1"/>
  <c r="K23" i="3"/>
  <c r="L22" i="3"/>
  <c r="L34" i="3"/>
  <c r="M21" i="3"/>
  <c r="N21" i="3" l="1"/>
  <c r="M34" i="3"/>
  <c r="M22" i="3"/>
  <c r="L35" i="3"/>
  <c r="L23" i="3"/>
  <c r="K36" i="3"/>
  <c r="K39" i="3" s="1"/>
  <c r="K26" i="3"/>
  <c r="M35" i="3" l="1"/>
  <c r="M23" i="3"/>
  <c r="L36" i="3"/>
  <c r="L39" i="3" s="1"/>
  <c r="L26" i="3"/>
  <c r="N22" i="3"/>
  <c r="O21" i="3"/>
  <c r="N34" i="3"/>
  <c r="P21" i="3" l="1"/>
  <c r="O22" i="3"/>
  <c r="O34" i="3"/>
  <c r="N23" i="3"/>
  <c r="N35" i="3"/>
  <c r="M36" i="3"/>
  <c r="M39" i="3" s="1"/>
  <c r="M26" i="3"/>
  <c r="O23" i="3" l="1"/>
  <c r="O35" i="3"/>
  <c r="Q21" i="3"/>
  <c r="P22" i="3"/>
  <c r="P34" i="3"/>
  <c r="N36" i="3"/>
  <c r="N39" i="3" s="1"/>
  <c r="N26" i="3"/>
  <c r="O36" i="3" l="1"/>
  <c r="O39" i="3" s="1"/>
  <c r="O26" i="3"/>
  <c r="P35" i="3"/>
  <c r="P23" i="3"/>
  <c r="P36" i="3" s="1"/>
  <c r="Q22" i="3"/>
  <c r="Q34" i="3"/>
  <c r="R21" i="3"/>
  <c r="R22" i="3" l="1"/>
  <c r="R34" i="3"/>
  <c r="Q23" i="3"/>
  <c r="Q36" i="3" s="1"/>
  <c r="Q35" i="3"/>
  <c r="R35" i="3" l="1"/>
  <c r="R23" i="3"/>
  <c r="R36" i="3" s="1"/>
</calcChain>
</file>

<file path=xl/sharedStrings.xml><?xml version="1.0" encoding="utf-8"?>
<sst xmlns="http://schemas.openxmlformats.org/spreadsheetml/2006/main" count="117" uniqueCount="81">
  <si>
    <t>Financial Viability Model Tool for NIWE-PPFS</t>
  </si>
  <si>
    <t>Illustrative example for Apple Orchards</t>
  </si>
  <si>
    <r>
      <rPr>
        <b/>
        <u/>
        <sz val="10"/>
        <color theme="1"/>
        <rFont val="Arial"/>
        <family val="2"/>
      </rPr>
      <t>Purpose</t>
    </r>
    <r>
      <rPr>
        <sz val="10"/>
        <color theme="1"/>
        <rFont val="Arial"/>
        <family val="2"/>
      </rPr>
      <t xml:space="preserve">
This financial viability model tool is provided as an illustrative example for the purpose of assistance in understanding the forecast capital and cashflow requirements of potential applicants seeking funding from the North Island Weather Events Primary Producer Finance Scheme (NIWE PPFS) for their recovery projects. For more information about the NIWE PPFS, please visit the website. https://www.growregions.govt.nz/new-funding/niwe-primary-producer-finance-scheme/
</t>
    </r>
    <r>
      <rPr>
        <b/>
        <u/>
        <sz val="10"/>
        <color theme="1"/>
        <rFont val="Arial"/>
        <family val="2"/>
      </rPr>
      <t>Disclaimer</t>
    </r>
    <r>
      <rPr>
        <u/>
        <sz val="10"/>
        <color theme="1"/>
        <rFont val="Arial"/>
        <family val="2"/>
      </rPr>
      <t xml:space="preserve">
</t>
    </r>
    <r>
      <rPr>
        <sz val="10"/>
        <color theme="1"/>
        <rFont val="Arial"/>
        <family val="2"/>
      </rPr>
      <t>The contents of this tool does not constitute financial advice, investment advice or tax advice. Ministry of Business, Innovation and Employment (MBIE) does not provide any assurances for the accuracy of the information contained in this tool and does not assume liability for any losses (financial or otherwise) resulting from applicants relying on this information.
Any figures and assumptions provided in this tool are based on limited discussions and industry engagement undertaken by MBIE and Ministry for Primary Industries (MPI) in July 2023 for the NIWE PPFS. These assumptions are likely to vary for individual applicants depending on the specifics of their projects and their unique circumstances.
This model is not intended as a substitute for professional services available in the market. Applicants are encouraged to seek help from their trusted advisors and qualified accountants when considering their investments and making business decisions.</t>
    </r>
  </si>
  <si>
    <t>Fill in only the coloured cells</t>
  </si>
  <si>
    <t>Do not change any other cells</t>
  </si>
  <si>
    <t>Please note the numbers prefilled in this sheet are just an example, they may not be the same for your project</t>
  </si>
  <si>
    <t xml:space="preserve">Entity legal name: </t>
  </si>
  <si>
    <t>Click here to enter text</t>
  </si>
  <si>
    <t>Registered New Zealand Business Number (NZBN)</t>
  </si>
  <si>
    <t>Click here to enter link (if applicable)</t>
  </si>
  <si>
    <t>Registered Company Number</t>
  </si>
  <si>
    <t>Commodity type</t>
  </si>
  <si>
    <t>Apples (include names of varieties)</t>
  </si>
  <si>
    <t>Land use</t>
  </si>
  <si>
    <t>Productive hectares pre NIWE</t>
  </si>
  <si>
    <t>Productive hectares remaining post NIWE impact (%)</t>
  </si>
  <si>
    <t xml:space="preserve">Productive hectares remaining </t>
  </si>
  <si>
    <t>Reinstatement proposed with NIWE support (hectares)</t>
  </si>
  <si>
    <t>% of original productive hectares</t>
  </si>
  <si>
    <t>Total hectares post NIWE PPFS support</t>
  </si>
  <si>
    <t>Farm Land</t>
  </si>
  <si>
    <t>Capital requiements</t>
  </si>
  <si>
    <t>in NZD</t>
  </si>
  <si>
    <t>Comments</t>
  </si>
  <si>
    <t>Cost to develop ($ average per hectares)</t>
  </si>
  <si>
    <t xml:space="preserve">This is your average cost per hectare you expect to incur to reinstate the orchard </t>
  </si>
  <si>
    <t>Additional Capex requirements</t>
  </si>
  <si>
    <t>Please add any other capital costs you expect to incur on your rebuild project</t>
  </si>
  <si>
    <t>NIWE Loan funding sought</t>
  </si>
  <si>
    <t>Key assumptions</t>
  </si>
  <si>
    <t xml:space="preserve">For remaining productive hectares </t>
  </si>
  <si>
    <t>Average income per productive hectare</t>
  </si>
  <si>
    <t>If this varies too much for different varieties, you could use an average or you could prepare separate models for each variety</t>
  </si>
  <si>
    <t>Average total cost of production per hectare (incl overhead, irrigation, non-growing)</t>
  </si>
  <si>
    <t>Average profit before interest per hectare</t>
  </si>
  <si>
    <t>Current debt / funding</t>
  </si>
  <si>
    <t>Productive LTV estimate</t>
  </si>
  <si>
    <t>Current Lender/Funder Interest Rate</t>
  </si>
  <si>
    <t>Term of Current Loan (Yrs)</t>
  </si>
  <si>
    <t>$ Value of property sold in Y1?</t>
  </si>
  <si>
    <t xml:space="preserve">Will any property be sold to lower debt? If yes, please provide an approximate value </t>
  </si>
  <si>
    <t>For new Reinstated Production (if support is received)</t>
  </si>
  <si>
    <t>Average income per reinstated hectare</t>
  </si>
  <si>
    <t>Productive hectares remaining (Current Position)</t>
  </si>
  <si>
    <t>T+1</t>
  </si>
  <si>
    <t>T+2</t>
  </si>
  <si>
    <t>T+3</t>
  </si>
  <si>
    <t>T+4</t>
  </si>
  <si>
    <t>T+5</t>
  </si>
  <si>
    <t>T+6</t>
  </si>
  <si>
    <t>T+7</t>
  </si>
  <si>
    <t>T+8</t>
  </si>
  <si>
    <t>T+9</t>
  </si>
  <si>
    <t>T+10</t>
  </si>
  <si>
    <t>T+11</t>
  </si>
  <si>
    <t>T+12</t>
  </si>
  <si>
    <t>T+13</t>
  </si>
  <si>
    <t>T+14</t>
  </si>
  <si>
    <t>T+15</t>
  </si>
  <si>
    <t>Forecast Income Statement (without support)</t>
  </si>
  <si>
    <t>$</t>
  </si>
  <si>
    <t>Sales</t>
  </si>
  <si>
    <t>Total cost of prodution</t>
  </si>
  <si>
    <t>Profit</t>
  </si>
  <si>
    <t>Total debt (Start of the Year)</t>
  </si>
  <si>
    <t>Interest cost for the year</t>
  </si>
  <si>
    <t>Net Profit available for servicing debt</t>
  </si>
  <si>
    <t>Principal repayments for current debt (at the end of the year)</t>
  </si>
  <si>
    <t>Bank/Funder Interest Rate</t>
  </si>
  <si>
    <t>New Reinstated Production Only (if support is received)</t>
  </si>
  <si>
    <t>Forecast Income Statement (with support)</t>
  </si>
  <si>
    <t>Additional sales from redeveloped section</t>
  </si>
  <si>
    <t>Total cost of prodution for redeveloped section</t>
  </si>
  <si>
    <t>Proposed Drawdown of NIWE Loan %</t>
  </si>
  <si>
    <t>Total debt</t>
  </si>
  <si>
    <t>Principal Repayments for NIWE Debt (at the end of the year)</t>
  </si>
  <si>
    <t>Assumed Interest rate for Period 1</t>
  </si>
  <si>
    <t>Assumed Interest rate for Period 2</t>
  </si>
  <si>
    <t>Consolidated Production Capacity</t>
  </si>
  <si>
    <t>Total Principal Repayments (at the end of the year)</t>
  </si>
  <si>
    <t>Coverage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</si>
</sst>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 numFmtId="167" formatCode="dd\ mmm\ yyyy"/>
  </numFmts>
  <fonts count="12" x14ac:knownFonts="1">
    <font>
      <sz val="11"/>
      <color theme="1"/>
      <name val="Arial"/>
      <family val="2"/>
    </font>
    <font>
      <sz val="11"/>
      <color theme="1"/>
      <name val="Arial"/>
      <family val="2"/>
    </font>
    <font>
      <sz val="8"/>
      <name val="Arial"/>
      <family val="2"/>
    </font>
    <font>
      <sz val="10"/>
      <color theme="1"/>
      <name val="Arial"/>
      <family val="2"/>
    </font>
    <font>
      <i/>
      <sz val="10"/>
      <color theme="1"/>
      <name val="Arial"/>
      <family val="2"/>
    </font>
    <font>
      <b/>
      <sz val="10"/>
      <color theme="1"/>
      <name val="Arial"/>
      <family val="2"/>
    </font>
    <font>
      <sz val="10"/>
      <name val="Arial"/>
      <family val="2"/>
    </font>
    <font>
      <b/>
      <i/>
      <sz val="10"/>
      <color theme="1"/>
      <name val="Arial"/>
      <family val="2"/>
    </font>
    <font>
      <b/>
      <sz val="10"/>
      <color theme="0"/>
      <name val="Arial"/>
      <family val="2"/>
    </font>
    <font>
      <b/>
      <i/>
      <sz val="9"/>
      <color theme="1"/>
      <name val="Arial"/>
      <family val="2"/>
    </font>
    <font>
      <b/>
      <u/>
      <sz val="10"/>
      <color theme="1"/>
      <name val="Arial"/>
      <family val="2"/>
    </font>
    <font>
      <u/>
      <sz val="10"/>
      <color theme="1"/>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0" fontId="3" fillId="0" borderId="4" xfId="0" applyFont="1" applyBorder="1" applyAlignment="1">
      <alignment vertical="center" wrapText="1"/>
    </xf>
    <xf numFmtId="0" fontId="3" fillId="3" borderId="0" xfId="0" applyFont="1" applyFill="1" applyAlignment="1">
      <alignment vertical="center"/>
    </xf>
    <xf numFmtId="0" fontId="3" fillId="0" borderId="0" xfId="0" applyFont="1" applyAlignment="1">
      <alignment vertical="center"/>
    </xf>
    <xf numFmtId="0" fontId="5" fillId="3" borderId="0" xfId="0" applyFont="1" applyFill="1" applyAlignment="1">
      <alignment vertical="center"/>
    </xf>
    <xf numFmtId="0" fontId="5" fillId="0" borderId="0" xfId="0" applyFont="1" applyAlignment="1">
      <alignment vertical="center"/>
    </xf>
    <xf numFmtId="0" fontId="3" fillId="2" borderId="3" xfId="0" applyFont="1" applyFill="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vertical="center"/>
    </xf>
    <xf numFmtId="0" fontId="6" fillId="0" borderId="0" xfId="0" quotePrefix="1"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9" fontId="4" fillId="0" borderId="3" xfId="2" applyFont="1" applyFill="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4" fillId="0" borderId="3" xfId="0" applyFont="1" applyBorder="1" applyAlignment="1">
      <alignment horizontal="left" vertical="center"/>
    </xf>
    <xf numFmtId="0" fontId="3" fillId="0" borderId="3"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64" fontId="4" fillId="0" borderId="3" xfId="0" applyNumberFormat="1" applyFont="1" applyBorder="1" applyAlignment="1">
      <alignment vertical="center"/>
    </xf>
    <xf numFmtId="164" fontId="4" fillId="0" borderId="3" xfId="1" applyNumberFormat="1" applyFont="1" applyBorder="1" applyAlignment="1">
      <alignment vertical="center"/>
    </xf>
    <xf numFmtId="9" fontId="4" fillId="0" borderId="3" xfId="2" applyFont="1" applyBorder="1" applyAlignment="1">
      <alignment vertical="center"/>
    </xf>
    <xf numFmtId="0" fontId="3" fillId="0" borderId="3" xfId="0" applyFont="1" applyBorder="1" applyAlignment="1">
      <alignment horizontal="left" vertical="center" indent="1"/>
    </xf>
    <xf numFmtId="0" fontId="5" fillId="0" borderId="3" xfId="0" applyFont="1" applyBorder="1" applyAlignment="1">
      <alignment horizontal="center" vertical="center"/>
    </xf>
    <xf numFmtId="0" fontId="5" fillId="0" borderId="12" xfId="0" applyFont="1" applyBorder="1" applyAlignment="1">
      <alignment vertical="center"/>
    </xf>
    <xf numFmtId="0" fontId="5" fillId="0" borderId="14" xfId="0" applyFont="1" applyBorder="1" applyAlignment="1">
      <alignment vertical="center"/>
    </xf>
    <xf numFmtId="166" fontId="3" fillId="0" borderId="0" xfId="3" applyNumberFormat="1" applyFont="1" applyBorder="1" applyAlignment="1">
      <alignment horizontal="center" vertical="center"/>
    </xf>
    <xf numFmtId="0" fontId="3" fillId="0" borderId="15" xfId="0" applyFont="1" applyBorder="1" applyAlignment="1">
      <alignment vertical="center"/>
    </xf>
    <xf numFmtId="0" fontId="3" fillId="0" borderId="14" xfId="0" applyFont="1" applyBorder="1" applyAlignment="1">
      <alignment vertical="center"/>
    </xf>
    <xf numFmtId="166" fontId="3" fillId="0" borderId="0" xfId="3" applyNumberFormat="1" applyFont="1" applyBorder="1" applyAlignment="1">
      <alignment vertical="center"/>
    </xf>
    <xf numFmtId="166" fontId="3" fillId="0" borderId="15" xfId="3" applyNumberFormat="1" applyFont="1" applyBorder="1" applyAlignment="1">
      <alignment vertical="center"/>
    </xf>
    <xf numFmtId="166" fontId="3" fillId="0" borderId="0" xfId="3" applyNumberFormat="1" applyFont="1" applyFill="1" applyBorder="1" applyAlignment="1">
      <alignment vertical="center"/>
    </xf>
    <xf numFmtId="166" fontId="6" fillId="0" borderId="0" xfId="3" applyNumberFormat="1" applyFont="1" applyFill="1" applyBorder="1" applyAlignment="1">
      <alignment vertical="center"/>
    </xf>
    <xf numFmtId="166" fontId="6" fillId="0" borderId="15" xfId="3" applyNumberFormat="1" applyFont="1" applyFill="1" applyBorder="1" applyAlignment="1">
      <alignment vertical="center"/>
    </xf>
    <xf numFmtId="166" fontId="3" fillId="0" borderId="15" xfId="3" applyNumberFormat="1" applyFont="1" applyFill="1" applyBorder="1" applyAlignment="1">
      <alignment vertical="center"/>
    </xf>
    <xf numFmtId="166" fontId="5" fillId="0" borderId="0" xfId="3" applyNumberFormat="1" applyFont="1" applyBorder="1" applyAlignment="1">
      <alignment vertical="center"/>
    </xf>
    <xf numFmtId="166" fontId="5" fillId="0" borderId="15" xfId="3" applyNumberFormat="1" applyFont="1" applyBorder="1" applyAlignment="1">
      <alignment vertical="center"/>
    </xf>
    <xf numFmtId="0" fontId="3" fillId="0" borderId="16" xfId="0" applyFont="1" applyBorder="1" applyAlignment="1">
      <alignment vertical="center"/>
    </xf>
    <xf numFmtId="166" fontId="3" fillId="0" borderId="5" xfId="3" applyNumberFormat="1" applyFont="1" applyBorder="1" applyAlignment="1">
      <alignment horizontal="center" vertical="center"/>
    </xf>
    <xf numFmtId="166" fontId="3" fillId="0" borderId="17" xfId="3" applyNumberFormat="1" applyFont="1" applyBorder="1" applyAlignment="1">
      <alignment horizontal="center" vertical="center"/>
    </xf>
    <xf numFmtId="166" fontId="3" fillId="3" borderId="0" xfId="3" applyNumberFormat="1" applyFont="1" applyFill="1" applyBorder="1" applyAlignment="1">
      <alignment vertical="center"/>
    </xf>
    <xf numFmtId="0" fontId="3" fillId="0" borderId="6" xfId="0" applyFont="1" applyBorder="1" applyAlignment="1">
      <alignment vertical="center"/>
    </xf>
    <xf numFmtId="166" fontId="3" fillId="0" borderId="6" xfId="3" applyNumberFormat="1" applyFont="1" applyBorder="1" applyAlignment="1">
      <alignment vertical="center"/>
    </xf>
    <xf numFmtId="166" fontId="3" fillId="0" borderId="13" xfId="3" applyNumberFormat="1" applyFont="1" applyBorder="1" applyAlignment="1">
      <alignment vertical="center"/>
    </xf>
    <xf numFmtId="166" fontId="3" fillId="0" borderId="5" xfId="3" applyNumberFormat="1" applyFont="1" applyBorder="1" applyAlignment="1">
      <alignment vertical="center"/>
    </xf>
    <xf numFmtId="166" fontId="3" fillId="0" borderId="17" xfId="3" applyNumberFormat="1" applyFont="1" applyBorder="1" applyAlignment="1">
      <alignment vertical="center"/>
    </xf>
    <xf numFmtId="9" fontId="5" fillId="0" borderId="14" xfId="0" applyNumberFormat="1" applyFont="1" applyBorder="1" applyAlignment="1">
      <alignment vertical="center"/>
    </xf>
    <xf numFmtId="164" fontId="3" fillId="0" borderId="0" xfId="0" applyNumberFormat="1" applyFont="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3" borderId="5" xfId="0" applyFont="1" applyFill="1" applyBorder="1" applyAlignment="1">
      <alignment horizontal="center"/>
    </xf>
    <xf numFmtId="0" fontId="3" fillId="0" borderId="0" xfId="0" applyFont="1"/>
    <xf numFmtId="0" fontId="8" fillId="4" borderId="8" xfId="0" applyFont="1" applyFill="1" applyBorder="1" applyAlignment="1">
      <alignment horizontal="center"/>
    </xf>
    <xf numFmtId="0" fontId="4" fillId="5" borderId="7" xfId="0" applyFont="1" applyFill="1" applyBorder="1" applyAlignment="1">
      <alignment horizontal="center"/>
    </xf>
    <xf numFmtId="0" fontId="3" fillId="3" borderId="6" xfId="0" applyFont="1" applyFill="1" applyBorder="1" applyAlignment="1">
      <alignment horizontal="center"/>
    </xf>
    <xf numFmtId="10" fontId="3" fillId="0" borderId="5" xfId="0" applyNumberFormat="1" applyFont="1" applyBorder="1" applyAlignment="1">
      <alignment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3" fillId="2" borderId="26" xfId="0" applyFont="1" applyFill="1" applyBorder="1" applyAlignment="1">
      <alignment horizontal="center" vertical="center"/>
    </xf>
    <xf numFmtId="10" fontId="3" fillId="0" borderId="0" xfId="2" applyNumberFormat="1" applyFont="1" applyFill="1" applyBorder="1" applyAlignment="1">
      <alignment vertical="center"/>
    </xf>
    <xf numFmtId="10" fontId="3" fillId="0" borderId="5" xfId="2" applyNumberFormat="1" applyFont="1" applyFill="1" applyBorder="1" applyAlignment="1">
      <alignment vertical="center"/>
    </xf>
    <xf numFmtId="0" fontId="4" fillId="0" borderId="26" xfId="0" applyFont="1" applyBorder="1" applyAlignment="1">
      <alignment vertical="center"/>
    </xf>
    <xf numFmtId="0" fontId="4" fillId="0" borderId="9" xfId="0" applyFont="1" applyBorder="1" applyAlignment="1">
      <alignment horizontal="left" vertical="center"/>
    </xf>
    <xf numFmtId="0" fontId="3" fillId="2" borderId="3" xfId="0" applyFont="1" applyFill="1" applyBorder="1" applyAlignment="1" applyProtection="1">
      <alignment horizontal="center" vertical="center"/>
      <protection locked="0"/>
    </xf>
    <xf numFmtId="9" fontId="3" fillId="2" borderId="3" xfId="2" applyFont="1" applyFill="1" applyBorder="1" applyAlignment="1" applyProtection="1">
      <alignment horizontal="center" vertical="center"/>
      <protection locked="0"/>
    </xf>
    <xf numFmtId="164" fontId="3" fillId="2" borderId="3" xfId="1" applyNumberFormat="1" applyFont="1" applyFill="1" applyBorder="1" applyAlignment="1" applyProtection="1">
      <alignment vertical="center"/>
      <protection locked="0"/>
    </xf>
    <xf numFmtId="165" fontId="3" fillId="2" borderId="3" xfId="0" applyNumberFormat="1" applyFont="1" applyFill="1" applyBorder="1" applyAlignment="1" applyProtection="1">
      <alignment vertical="center"/>
      <protection locked="0"/>
    </xf>
    <xf numFmtId="167" fontId="3" fillId="2" borderId="0" xfId="0" applyNumberFormat="1" applyFont="1" applyFill="1" applyAlignment="1" applyProtection="1">
      <alignment vertical="center"/>
      <protection locked="0"/>
    </xf>
    <xf numFmtId="166" fontId="3" fillId="2" borderId="0" xfId="3" applyNumberFormat="1" applyFont="1" applyFill="1" applyBorder="1" applyAlignment="1" applyProtection="1">
      <alignment vertical="center"/>
      <protection locked="0"/>
    </xf>
    <xf numFmtId="166" fontId="3" fillId="2" borderId="15" xfId="3" applyNumberFormat="1" applyFont="1" applyFill="1" applyBorder="1" applyAlignment="1" applyProtection="1">
      <alignment vertical="center"/>
      <protection locked="0"/>
    </xf>
    <xf numFmtId="9" fontId="3" fillId="2" borderId="0" xfId="2" applyFont="1" applyFill="1" applyBorder="1" applyAlignment="1" applyProtection="1">
      <alignment vertical="center"/>
      <protection locked="0"/>
    </xf>
    <xf numFmtId="166" fontId="6" fillId="2" borderId="0" xfId="3" applyNumberFormat="1" applyFont="1" applyFill="1" applyBorder="1" applyAlignment="1" applyProtection="1">
      <alignment vertical="center"/>
      <protection locked="0"/>
    </xf>
    <xf numFmtId="0" fontId="3" fillId="3" borderId="0" xfId="0" applyFont="1" applyFill="1" applyAlignment="1">
      <alignment horizont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00DA-C7DD-4C96-B84C-7C5E39455427}">
  <dimension ref="A1:XET49"/>
  <sheetViews>
    <sheetView tabSelected="1" zoomScaleNormal="100" workbookViewId="0">
      <selection activeCell="B4" sqref="B4"/>
    </sheetView>
  </sheetViews>
  <sheetFormatPr defaultColWidth="0" defaultRowHeight="12.75" zeroHeight="1" x14ac:dyDescent="0.2"/>
  <cols>
    <col min="1" max="1" width="2.375" style="52" customWidth="1"/>
    <col min="2" max="2" width="112.25" style="52" customWidth="1"/>
    <col min="3" max="3" width="3.25" style="52" customWidth="1"/>
    <col min="4" max="16374" width="9" style="52" hidden="1"/>
    <col min="16375" max="16384" width="0.125" style="52" hidden="1"/>
  </cols>
  <sheetData>
    <row r="1" spans="1:3" ht="13.5" thickBot="1" x14ac:dyDescent="0.25">
      <c r="A1" s="73"/>
      <c r="B1" s="51"/>
      <c r="C1" s="73"/>
    </row>
    <row r="2" spans="1:3" x14ac:dyDescent="0.2">
      <c r="A2" s="73"/>
      <c r="B2" s="53" t="s">
        <v>0</v>
      </c>
      <c r="C2" s="73"/>
    </row>
    <row r="3" spans="1:3" x14ac:dyDescent="0.2">
      <c r="A3" s="73"/>
      <c r="B3" s="54" t="s">
        <v>1</v>
      </c>
      <c r="C3" s="73"/>
    </row>
    <row r="4" spans="1:3" ht="265.5" customHeight="1" thickBot="1" x14ac:dyDescent="0.25">
      <c r="A4" s="73"/>
      <c r="B4" s="1" t="s">
        <v>2</v>
      </c>
      <c r="C4" s="73"/>
    </row>
    <row r="5" spans="1:3" x14ac:dyDescent="0.2">
      <c r="A5" s="73"/>
      <c r="B5" s="55"/>
      <c r="C5" s="73"/>
    </row>
    <row r="17" s="52" customFormat="1" hidden="1" x14ac:dyDescent="0.2"/>
    <row r="18" s="52" customFormat="1" hidden="1" x14ac:dyDescent="0.2"/>
    <row r="19" s="52" customFormat="1" hidden="1" x14ac:dyDescent="0.2"/>
    <row r="20" s="52" customFormat="1" hidden="1" x14ac:dyDescent="0.2"/>
    <row r="21" s="52" customFormat="1" hidden="1" x14ac:dyDescent="0.2"/>
    <row r="22" s="52" customFormat="1" hidden="1" x14ac:dyDescent="0.2"/>
    <row r="23" s="52" customFormat="1" hidden="1" x14ac:dyDescent="0.2"/>
    <row r="24" s="52" customFormat="1" hidden="1" x14ac:dyDescent="0.2"/>
    <row r="25" s="52" customFormat="1" hidden="1" x14ac:dyDescent="0.2"/>
    <row r="26" s="52" customFormat="1" hidden="1" x14ac:dyDescent="0.2"/>
    <row r="27" s="52" customFormat="1" hidden="1" x14ac:dyDescent="0.2"/>
    <row r="28" s="52" customFormat="1" hidden="1" x14ac:dyDescent="0.2"/>
    <row r="29" s="52" customFormat="1" hidden="1" x14ac:dyDescent="0.2"/>
    <row r="30" s="52" customFormat="1" hidden="1" x14ac:dyDescent="0.2"/>
    <row r="31" s="52" customFormat="1" hidden="1" x14ac:dyDescent="0.2"/>
    <row r="32" s="52" customFormat="1" hidden="1" x14ac:dyDescent="0.2"/>
    <row r="33" s="52" customFormat="1" hidden="1" x14ac:dyDescent="0.2"/>
    <row r="34" s="52" customFormat="1" hidden="1" x14ac:dyDescent="0.2"/>
    <row r="35" s="52" customFormat="1" hidden="1" x14ac:dyDescent="0.2"/>
    <row r="36" s="52" customFormat="1" hidden="1" x14ac:dyDescent="0.2"/>
    <row r="37" s="52" customFormat="1" hidden="1" x14ac:dyDescent="0.2"/>
    <row r="38" s="52" customFormat="1" hidden="1" x14ac:dyDescent="0.2"/>
    <row r="39" s="52" customFormat="1" hidden="1" x14ac:dyDescent="0.2"/>
    <row r="40" s="52" customFormat="1" hidden="1" x14ac:dyDescent="0.2"/>
    <row r="41" s="52" customFormat="1" hidden="1" x14ac:dyDescent="0.2"/>
    <row r="42" s="52" customFormat="1" hidden="1" x14ac:dyDescent="0.2"/>
    <row r="43" s="52" customFormat="1" hidden="1" x14ac:dyDescent="0.2"/>
    <row r="44" s="52" customFormat="1" hidden="1" x14ac:dyDescent="0.2"/>
    <row r="45" s="52" customFormat="1" hidden="1" x14ac:dyDescent="0.2"/>
    <row r="46" s="52" customFormat="1" hidden="1" x14ac:dyDescent="0.2"/>
    <row r="47" s="52" customFormat="1" hidden="1" x14ac:dyDescent="0.2"/>
    <row r="48" s="52" customFormat="1" hidden="1" x14ac:dyDescent="0.2"/>
    <row r="49" s="52" customFormat="1" hidden="1" x14ac:dyDescent="0.2"/>
  </sheetData>
  <sheetProtection algorithmName="SHA-512" hashValue="uYLkC1jAAlqCukdImSIWGlNFvBFnmdFA+IqcHCwMbxEdXsO15gKICzp5tijJ7OjUoBEGBZO8bCFBTG2k1Zeh/g==" saltValue="35FqoqezV8btoVhFyeGiCQ==" spinCount="100000" sheet="1" objects="1" scenarios="1"/>
  <mergeCells count="2">
    <mergeCell ref="A1:A5"/>
    <mergeCell ref="C1: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010C-9268-42A4-81AE-1809EFAE7D60}">
  <dimension ref="A1:N115"/>
  <sheetViews>
    <sheetView showGridLines="0" zoomScaleNormal="100" workbookViewId="0">
      <selection activeCell="C1048576" sqref="C1048576"/>
    </sheetView>
  </sheetViews>
  <sheetFormatPr defaultColWidth="0" defaultRowHeight="15" customHeight="1" zeroHeight="1" x14ac:dyDescent="0.2"/>
  <cols>
    <col min="1" max="1" width="3.125" style="2" customWidth="1"/>
    <col min="2" max="2" width="63" style="3" bestFit="1" customWidth="1"/>
    <col min="3" max="3" width="27.625" style="3" bestFit="1" customWidth="1"/>
    <col min="4" max="4" width="25.75" style="3" bestFit="1" customWidth="1"/>
    <col min="5" max="5" width="16.25" style="3" customWidth="1"/>
    <col min="6" max="6" width="24.375" style="3" bestFit="1" customWidth="1"/>
    <col min="7" max="7" width="16.625" style="3" bestFit="1" customWidth="1"/>
    <col min="8" max="8" width="16.5" style="3" bestFit="1" customWidth="1"/>
    <col min="9" max="9" width="3.875" style="2" customWidth="1"/>
    <col min="10" max="14" width="0" style="3" hidden="1" customWidth="1"/>
    <col min="15" max="16384" width="9" style="3" hidden="1"/>
  </cols>
  <sheetData>
    <row r="1" spans="1:14" s="2" customFormat="1" ht="15" customHeight="1" thickBot="1" x14ac:dyDescent="0.25"/>
    <row r="2" spans="1:14" ht="15" customHeight="1" x14ac:dyDescent="0.2">
      <c r="B2" s="6" t="s">
        <v>3</v>
      </c>
      <c r="C2" s="7" t="s">
        <v>4</v>
      </c>
      <c r="E2" s="86" t="s">
        <v>5</v>
      </c>
      <c r="F2" s="87"/>
      <c r="G2" s="88"/>
    </row>
    <row r="3" spans="1:14" ht="15" customHeight="1" thickBot="1" x14ac:dyDescent="0.25">
      <c r="B3" s="15" t="s">
        <v>6</v>
      </c>
      <c r="C3" s="64" t="s">
        <v>7</v>
      </c>
      <c r="E3" s="89"/>
      <c r="F3" s="90"/>
      <c r="G3" s="91"/>
    </row>
    <row r="4" spans="1:14" ht="15" customHeight="1" x14ac:dyDescent="0.2">
      <c r="B4" s="15" t="s">
        <v>8</v>
      </c>
      <c r="C4" s="64" t="s">
        <v>9</v>
      </c>
    </row>
    <row r="5" spans="1:14" ht="15" customHeight="1" x14ac:dyDescent="0.2">
      <c r="B5" s="15" t="s">
        <v>10</v>
      </c>
      <c r="C5" s="64" t="s">
        <v>9</v>
      </c>
    </row>
    <row r="6" spans="1:14" ht="15" customHeight="1" x14ac:dyDescent="0.2">
      <c r="B6" s="15" t="s">
        <v>11</v>
      </c>
      <c r="C6" s="64" t="s">
        <v>12</v>
      </c>
    </row>
    <row r="7" spans="1:14" ht="15" customHeight="1" x14ac:dyDescent="0.2"/>
    <row r="8" spans="1:14" s="5" customFormat="1" ht="38.25" x14ac:dyDescent="0.2">
      <c r="A8" s="4"/>
      <c r="B8" s="13" t="s">
        <v>13</v>
      </c>
      <c r="C8" s="13" t="s">
        <v>14</v>
      </c>
      <c r="D8" s="14" t="s">
        <v>15</v>
      </c>
      <c r="E8" s="14" t="s">
        <v>16</v>
      </c>
      <c r="F8" s="14" t="s">
        <v>17</v>
      </c>
      <c r="G8" s="14" t="s">
        <v>18</v>
      </c>
      <c r="H8" s="14" t="s">
        <v>19</v>
      </c>
      <c r="I8" s="4"/>
      <c r="M8" s="3"/>
      <c r="N8" s="3"/>
    </row>
    <row r="9" spans="1:14" ht="15" customHeight="1" x14ac:dyDescent="0.2">
      <c r="B9" s="8" t="s">
        <v>20</v>
      </c>
      <c r="C9" s="64">
        <v>35</v>
      </c>
      <c r="D9" s="65">
        <v>0.55000000000000004</v>
      </c>
      <c r="E9" s="7">
        <f>C9*D9</f>
        <v>19.25</v>
      </c>
      <c r="F9" s="64">
        <v>12</v>
      </c>
      <c r="G9" s="12">
        <f>F9/C9</f>
        <v>0.34285714285714286</v>
      </c>
      <c r="H9" s="7">
        <f>(C9*D9)+F9</f>
        <v>31.25</v>
      </c>
    </row>
    <row r="10" spans="1:14" ht="15" customHeight="1" x14ac:dyDescent="0.2"/>
    <row r="11" spans="1:14" ht="15" customHeight="1" x14ac:dyDescent="0.2">
      <c r="B11" s="13" t="s">
        <v>21</v>
      </c>
      <c r="C11" s="23" t="s">
        <v>22</v>
      </c>
      <c r="D11" s="77" t="s">
        <v>23</v>
      </c>
      <c r="E11" s="78"/>
      <c r="F11" s="78"/>
      <c r="G11" s="79"/>
    </row>
    <row r="12" spans="1:14" ht="15" customHeight="1" x14ac:dyDescent="0.2">
      <c r="B12" s="8" t="s">
        <v>24</v>
      </c>
      <c r="C12" s="66">
        <v>150000</v>
      </c>
      <c r="D12" s="74" t="s">
        <v>25</v>
      </c>
      <c r="E12" s="75"/>
      <c r="F12" s="75"/>
      <c r="G12" s="76"/>
    </row>
    <row r="13" spans="1:14" ht="15" customHeight="1" x14ac:dyDescent="0.2">
      <c r="B13" s="8" t="s">
        <v>26</v>
      </c>
      <c r="C13" s="66">
        <v>200000</v>
      </c>
      <c r="D13" s="74" t="s">
        <v>27</v>
      </c>
      <c r="E13" s="75"/>
      <c r="F13" s="75"/>
      <c r="G13" s="76"/>
    </row>
    <row r="14" spans="1:14" ht="15" customHeight="1" x14ac:dyDescent="0.2">
      <c r="B14" s="8" t="s">
        <v>28</v>
      </c>
      <c r="C14" s="19">
        <f>C12*F9+C13</f>
        <v>2000000</v>
      </c>
    </row>
    <row r="15" spans="1:14" ht="15" customHeight="1" x14ac:dyDescent="0.2">
      <c r="B15" s="9"/>
      <c r="C15" s="9"/>
      <c r="D15" s="9"/>
      <c r="E15" s="9"/>
      <c r="F15" s="9"/>
      <c r="G15" s="9"/>
      <c r="H15" s="9"/>
    </row>
    <row r="16" spans="1:14" ht="15" customHeight="1" x14ac:dyDescent="0.2">
      <c r="B16" s="13" t="s">
        <v>29</v>
      </c>
      <c r="C16" s="23" t="s">
        <v>22</v>
      </c>
      <c r="D16" s="77" t="s">
        <v>23</v>
      </c>
      <c r="E16" s="78"/>
      <c r="F16" s="78"/>
      <c r="G16" s="79"/>
    </row>
    <row r="17" spans="2:7" ht="15" customHeight="1" x14ac:dyDescent="0.2">
      <c r="B17" s="13" t="s">
        <v>30</v>
      </c>
      <c r="C17" s="16"/>
      <c r="D17" s="63"/>
      <c r="E17" s="17"/>
      <c r="F17" s="17"/>
      <c r="G17" s="18"/>
    </row>
    <row r="18" spans="2:7" ht="15" customHeight="1" x14ac:dyDescent="0.2">
      <c r="B18" s="22" t="s">
        <v>31</v>
      </c>
      <c r="C18" s="66">
        <v>120000</v>
      </c>
      <c r="D18" s="80" t="s">
        <v>32</v>
      </c>
      <c r="E18" s="81"/>
      <c r="F18" s="81"/>
      <c r="G18" s="82"/>
    </row>
    <row r="19" spans="2:7" ht="15" customHeight="1" x14ac:dyDescent="0.2">
      <c r="B19" s="22" t="s">
        <v>33</v>
      </c>
      <c r="C19" s="66">
        <v>80000</v>
      </c>
      <c r="D19" s="83"/>
      <c r="E19" s="84"/>
      <c r="F19" s="84"/>
      <c r="G19" s="85"/>
    </row>
    <row r="20" spans="2:7" ht="15" customHeight="1" x14ac:dyDescent="0.2">
      <c r="B20" s="22" t="s">
        <v>34</v>
      </c>
      <c r="C20" s="20">
        <f>C18-C19</f>
        <v>40000</v>
      </c>
      <c r="D20" s="74"/>
      <c r="E20" s="75"/>
      <c r="F20" s="75"/>
      <c r="G20" s="76"/>
    </row>
    <row r="21" spans="2:7" ht="15" customHeight="1" x14ac:dyDescent="0.2">
      <c r="B21" s="22" t="s">
        <v>35</v>
      </c>
      <c r="C21" s="66">
        <v>2000000</v>
      </c>
      <c r="D21" s="74"/>
      <c r="E21" s="75"/>
      <c r="F21" s="75"/>
      <c r="G21" s="76"/>
    </row>
    <row r="22" spans="2:7" ht="15" customHeight="1" x14ac:dyDescent="0.2">
      <c r="B22" s="22" t="s">
        <v>36</v>
      </c>
      <c r="C22" s="21">
        <f>(C21-C25)/(E9*C12)</f>
        <v>0.69264069264069261</v>
      </c>
      <c r="D22" s="74"/>
      <c r="E22" s="75"/>
      <c r="F22" s="75"/>
      <c r="G22" s="76"/>
    </row>
    <row r="23" spans="2:7" ht="15" customHeight="1" x14ac:dyDescent="0.2">
      <c r="B23" s="22" t="s">
        <v>37</v>
      </c>
      <c r="C23" s="67">
        <v>9.5000000000000001E-2</v>
      </c>
      <c r="D23" s="74"/>
      <c r="E23" s="75"/>
      <c r="F23" s="75"/>
      <c r="G23" s="76"/>
    </row>
    <row r="24" spans="2:7" ht="15" customHeight="1" x14ac:dyDescent="0.2">
      <c r="B24" s="22" t="s">
        <v>38</v>
      </c>
      <c r="C24" s="66">
        <v>8</v>
      </c>
      <c r="D24" s="74"/>
      <c r="E24" s="75"/>
      <c r="F24" s="75"/>
      <c r="G24" s="76"/>
    </row>
    <row r="25" spans="2:7" ht="15" customHeight="1" x14ac:dyDescent="0.2">
      <c r="B25" s="22" t="s">
        <v>39</v>
      </c>
      <c r="C25" s="66">
        <v>0</v>
      </c>
      <c r="D25" s="74" t="s">
        <v>40</v>
      </c>
      <c r="E25" s="75"/>
      <c r="F25" s="75"/>
      <c r="G25" s="76"/>
    </row>
    <row r="26" spans="2:7" ht="15" customHeight="1" x14ac:dyDescent="0.2">
      <c r="B26" s="13" t="s">
        <v>41</v>
      </c>
      <c r="C26" s="16"/>
      <c r="D26" s="74"/>
      <c r="E26" s="75"/>
      <c r="F26" s="75"/>
      <c r="G26" s="76"/>
    </row>
    <row r="27" spans="2:7" ht="15" customHeight="1" x14ac:dyDescent="0.2">
      <c r="B27" s="22" t="s">
        <v>42</v>
      </c>
      <c r="C27" s="66">
        <v>150000</v>
      </c>
      <c r="D27" s="80" t="s">
        <v>32</v>
      </c>
      <c r="E27" s="81"/>
      <c r="F27" s="81"/>
      <c r="G27" s="82"/>
    </row>
    <row r="28" spans="2:7" ht="15" customHeight="1" x14ac:dyDescent="0.2">
      <c r="B28" s="22" t="s">
        <v>33</v>
      </c>
      <c r="C28" s="66">
        <v>100000</v>
      </c>
      <c r="D28" s="83"/>
      <c r="E28" s="84"/>
      <c r="F28" s="84"/>
      <c r="G28" s="85"/>
    </row>
    <row r="29" spans="2:7" ht="15" customHeight="1" x14ac:dyDescent="0.2">
      <c r="B29" s="22" t="s">
        <v>34</v>
      </c>
      <c r="C29" s="20">
        <f>C27-C28</f>
        <v>50000</v>
      </c>
      <c r="D29" s="74"/>
      <c r="E29" s="75"/>
      <c r="F29" s="75"/>
      <c r="G29" s="76"/>
    </row>
    <row r="30" spans="2:7" s="2" customFormat="1" ht="15" customHeight="1" x14ac:dyDescent="0.2"/>
    <row r="63" spans="4:4" ht="15" hidden="1" customHeight="1" x14ac:dyDescent="0.2">
      <c r="D63" s="10"/>
    </row>
    <row r="64" spans="4:4" ht="15" hidden="1" customHeight="1" x14ac:dyDescent="0.2">
      <c r="D64" s="10"/>
    </row>
    <row r="65" spans="4:4" ht="15" hidden="1" customHeight="1" x14ac:dyDescent="0.2">
      <c r="D65" s="10"/>
    </row>
    <row r="66" spans="4:4" ht="15" hidden="1" customHeight="1" x14ac:dyDescent="0.2">
      <c r="D66" s="10"/>
    </row>
    <row r="67" spans="4:4" ht="15" hidden="1" customHeight="1" x14ac:dyDescent="0.2">
      <c r="D67" s="10"/>
    </row>
    <row r="68" spans="4:4" ht="15" hidden="1" customHeight="1" x14ac:dyDescent="0.2">
      <c r="D68" s="10"/>
    </row>
    <row r="69" spans="4:4" ht="15" hidden="1" customHeight="1" x14ac:dyDescent="0.2">
      <c r="D69" s="10"/>
    </row>
    <row r="70" spans="4:4" ht="15" hidden="1" customHeight="1" x14ac:dyDescent="0.2">
      <c r="D70" s="10"/>
    </row>
    <row r="71" spans="4:4" ht="15" hidden="1" customHeight="1" x14ac:dyDescent="0.2">
      <c r="D71" s="10"/>
    </row>
    <row r="72" spans="4:4" ht="15" hidden="1" customHeight="1" x14ac:dyDescent="0.2">
      <c r="D72" s="10"/>
    </row>
    <row r="73" spans="4:4" ht="15" hidden="1" customHeight="1" x14ac:dyDescent="0.2">
      <c r="D73" s="10"/>
    </row>
    <row r="74" spans="4:4" ht="15" hidden="1" customHeight="1" x14ac:dyDescent="0.2">
      <c r="D74" s="10"/>
    </row>
    <row r="75" spans="4:4" ht="15" hidden="1" customHeight="1" x14ac:dyDescent="0.2">
      <c r="D75" s="10"/>
    </row>
    <row r="76" spans="4:4" ht="15" hidden="1" customHeight="1" x14ac:dyDescent="0.2">
      <c r="D76" s="10"/>
    </row>
    <row r="77" spans="4:4" ht="15" hidden="1" customHeight="1" x14ac:dyDescent="0.2">
      <c r="D77" s="10"/>
    </row>
    <row r="78" spans="4:4" ht="15" hidden="1" customHeight="1" x14ac:dyDescent="0.2">
      <c r="D78" s="10"/>
    </row>
    <row r="79" spans="4:4" ht="15" hidden="1" customHeight="1" x14ac:dyDescent="0.2">
      <c r="D79" s="10"/>
    </row>
    <row r="80" spans="4:4" ht="15" hidden="1" customHeight="1" x14ac:dyDescent="0.2">
      <c r="D80" s="10"/>
    </row>
    <row r="81" spans="4:4" ht="15" hidden="1" customHeight="1" x14ac:dyDescent="0.2">
      <c r="D81" s="10"/>
    </row>
    <row r="82" spans="4:4" ht="15" hidden="1" customHeight="1" x14ac:dyDescent="0.2">
      <c r="D82" s="10"/>
    </row>
    <row r="83" spans="4:4" ht="15" hidden="1" customHeight="1" x14ac:dyDescent="0.2">
      <c r="D83" s="10"/>
    </row>
    <row r="84" spans="4:4" ht="15" hidden="1" customHeight="1" x14ac:dyDescent="0.2">
      <c r="D84" s="10"/>
    </row>
    <row r="85" spans="4:4" ht="15" hidden="1" customHeight="1" x14ac:dyDescent="0.2">
      <c r="D85" s="10"/>
    </row>
    <row r="86" spans="4:4" ht="15" hidden="1" customHeight="1" x14ac:dyDescent="0.2">
      <c r="D86" s="10"/>
    </row>
    <row r="87" spans="4:4" ht="15" hidden="1" customHeight="1" x14ac:dyDescent="0.2">
      <c r="D87" s="10"/>
    </row>
    <row r="88" spans="4:4" ht="15" hidden="1" customHeight="1" x14ac:dyDescent="0.2">
      <c r="D88" s="10"/>
    </row>
    <row r="89" spans="4:4" ht="15" hidden="1" customHeight="1" x14ac:dyDescent="0.2">
      <c r="D89" s="10"/>
    </row>
    <row r="90" spans="4:4" ht="15" hidden="1" customHeight="1" x14ac:dyDescent="0.2">
      <c r="D90" s="10"/>
    </row>
    <row r="91" spans="4:4" ht="15" hidden="1" customHeight="1" x14ac:dyDescent="0.2">
      <c r="D91" s="10"/>
    </row>
    <row r="92" spans="4:4" ht="15" hidden="1" customHeight="1" x14ac:dyDescent="0.2">
      <c r="D92" s="10"/>
    </row>
    <row r="93" spans="4:4" ht="15" hidden="1" customHeight="1" x14ac:dyDescent="0.2">
      <c r="D93" s="10"/>
    </row>
    <row r="94" spans="4:4" ht="15" hidden="1" customHeight="1" x14ac:dyDescent="0.2">
      <c r="D94" s="10"/>
    </row>
    <row r="95" spans="4:4" ht="15" hidden="1" customHeight="1" x14ac:dyDescent="0.2">
      <c r="D95" s="10"/>
    </row>
    <row r="96" spans="4:4" ht="15" hidden="1" customHeight="1" x14ac:dyDescent="0.2">
      <c r="D96" s="10"/>
    </row>
    <row r="97" spans="4:4" ht="15" hidden="1" customHeight="1" x14ac:dyDescent="0.2">
      <c r="D97" s="10"/>
    </row>
    <row r="98" spans="4:4" ht="15" hidden="1" customHeight="1" x14ac:dyDescent="0.2">
      <c r="D98" s="10"/>
    </row>
    <row r="99" spans="4:4" ht="15" hidden="1" customHeight="1" x14ac:dyDescent="0.2">
      <c r="D99" s="10"/>
    </row>
    <row r="100" spans="4:4" ht="15" hidden="1" customHeight="1" x14ac:dyDescent="0.2">
      <c r="D100" s="10"/>
    </row>
    <row r="101" spans="4:4" ht="15" hidden="1" customHeight="1" x14ac:dyDescent="0.2">
      <c r="D101" s="10"/>
    </row>
    <row r="102" spans="4:4" ht="15" hidden="1" customHeight="1" x14ac:dyDescent="0.2">
      <c r="D102" s="10"/>
    </row>
    <row r="103" spans="4:4" ht="15" hidden="1" customHeight="1" x14ac:dyDescent="0.2">
      <c r="D103" s="10"/>
    </row>
    <row r="104" spans="4:4" ht="15" hidden="1" customHeight="1" x14ac:dyDescent="0.2">
      <c r="D104" s="10"/>
    </row>
    <row r="105" spans="4:4" ht="15" hidden="1" customHeight="1" x14ac:dyDescent="0.2">
      <c r="D105" s="10"/>
    </row>
    <row r="106" spans="4:4" ht="15" hidden="1" customHeight="1" x14ac:dyDescent="0.2">
      <c r="D106" s="10"/>
    </row>
    <row r="107" spans="4:4" ht="15" hidden="1" customHeight="1" x14ac:dyDescent="0.2">
      <c r="D107" s="10"/>
    </row>
    <row r="108" spans="4:4" ht="15" hidden="1" customHeight="1" x14ac:dyDescent="0.2">
      <c r="D108" s="10"/>
    </row>
    <row r="109" spans="4:4" ht="15" hidden="1" customHeight="1" x14ac:dyDescent="0.2">
      <c r="D109" s="10"/>
    </row>
    <row r="110" spans="4:4" ht="15" hidden="1" customHeight="1" x14ac:dyDescent="0.2">
      <c r="D110" s="10"/>
    </row>
    <row r="111" spans="4:4" ht="15" hidden="1" customHeight="1" x14ac:dyDescent="0.2">
      <c r="D111" s="10"/>
    </row>
    <row r="112" spans="4:4" ht="15" hidden="1" customHeight="1" x14ac:dyDescent="0.2">
      <c r="D112" s="10"/>
    </row>
    <row r="113" spans="4:4" ht="15" hidden="1" customHeight="1" x14ac:dyDescent="0.2">
      <c r="D113" s="10"/>
    </row>
    <row r="114" spans="4:4" ht="15" hidden="1" customHeight="1" x14ac:dyDescent="0.2">
      <c r="D114" s="10"/>
    </row>
    <row r="115" spans="4:4" ht="15" hidden="1" customHeight="1" x14ac:dyDescent="0.2">
      <c r="D115" s="11"/>
    </row>
  </sheetData>
  <sheetProtection algorithmName="SHA-512" hashValue="8APUHPYPSjQsGUaYO+DnUJdvUdid+mLcuPHwPH8TYG2/CseW1Ts6ynpARdagMGCFHusVPeaetFjBT0eWMn3TPA==" saltValue="rX/PM2cH0QWyJeQoGIA/3A==" spinCount="100000" sheet="1" objects="1" scenarios="1"/>
  <mergeCells count="15">
    <mergeCell ref="D13:G13"/>
    <mergeCell ref="D12:G12"/>
    <mergeCell ref="D11:G11"/>
    <mergeCell ref="E2:G3"/>
    <mergeCell ref="D26:G26"/>
    <mergeCell ref="D29:G29"/>
    <mergeCell ref="D16:G16"/>
    <mergeCell ref="D25:G25"/>
    <mergeCell ref="D20:G20"/>
    <mergeCell ref="D21:G21"/>
    <mergeCell ref="D22:G22"/>
    <mergeCell ref="D23:G23"/>
    <mergeCell ref="D24:G24"/>
    <mergeCell ref="D18:G19"/>
    <mergeCell ref="D27:G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55D2-0B1F-4F60-8272-7EA36F9622AB}">
  <dimension ref="A1:U40"/>
  <sheetViews>
    <sheetView zoomScaleNormal="100" workbookViewId="0">
      <selection activeCell="A5" sqref="A5"/>
    </sheetView>
  </sheetViews>
  <sheetFormatPr defaultColWidth="0" defaultRowHeight="12.75" zeroHeight="1" x14ac:dyDescent="0.2"/>
  <cols>
    <col min="1" max="1" width="3.5" style="2" customWidth="1"/>
    <col min="2" max="2" width="45.5" style="3" bestFit="1" customWidth="1"/>
    <col min="3" max="3" width="9.625" style="3" bestFit="1" customWidth="1"/>
    <col min="4" max="18" width="9.875" style="3" bestFit="1" customWidth="1"/>
    <col min="19" max="19" width="4.125" style="2" customWidth="1"/>
    <col min="20" max="21" width="0" style="3" hidden="1" customWidth="1"/>
    <col min="22" max="16384" width="9" style="3" hidden="1"/>
  </cols>
  <sheetData>
    <row r="1" spans="2:18" s="2" customFormat="1" ht="13.5" thickBot="1" x14ac:dyDescent="0.25"/>
    <row r="2" spans="2:18" s="2" customFormat="1" ht="13.5" thickBot="1" x14ac:dyDescent="0.25">
      <c r="B2" s="59" t="s">
        <v>3</v>
      </c>
      <c r="C2" s="62"/>
      <c r="D2" s="92" t="s">
        <v>4</v>
      </c>
      <c r="E2" s="93"/>
      <c r="F2" s="94"/>
      <c r="G2" s="62"/>
      <c r="H2" s="92" t="s">
        <v>5</v>
      </c>
      <c r="I2" s="93"/>
      <c r="J2" s="93"/>
      <c r="K2" s="93"/>
      <c r="L2" s="93"/>
      <c r="M2" s="93"/>
      <c r="N2" s="93"/>
      <c r="O2" s="93"/>
      <c r="P2" s="94"/>
      <c r="Q2" s="95"/>
      <c r="R2" s="96"/>
    </row>
    <row r="3" spans="2:18" x14ac:dyDescent="0.2">
      <c r="B3" s="25" t="s">
        <v>43</v>
      </c>
      <c r="C3" s="68">
        <v>45107</v>
      </c>
      <c r="D3" s="57" t="s">
        <v>44</v>
      </c>
      <c r="E3" s="57" t="s">
        <v>45</v>
      </c>
      <c r="F3" s="57" t="s">
        <v>46</v>
      </c>
      <c r="G3" s="57" t="s">
        <v>47</v>
      </c>
      <c r="H3" s="57" t="s">
        <v>48</v>
      </c>
      <c r="I3" s="57" t="s">
        <v>49</v>
      </c>
      <c r="J3" s="57" t="s">
        <v>50</v>
      </c>
      <c r="K3" s="57" t="s">
        <v>51</v>
      </c>
      <c r="L3" s="57" t="s">
        <v>52</v>
      </c>
      <c r="M3" s="57" t="s">
        <v>53</v>
      </c>
      <c r="N3" s="57" t="s">
        <v>54</v>
      </c>
      <c r="O3" s="57" t="s">
        <v>55</v>
      </c>
      <c r="P3" s="57" t="s">
        <v>56</v>
      </c>
      <c r="Q3" s="57" t="s">
        <v>57</v>
      </c>
      <c r="R3" s="58" t="s">
        <v>58</v>
      </c>
    </row>
    <row r="4" spans="2:18" x14ac:dyDescent="0.2">
      <c r="B4" s="25" t="s">
        <v>59</v>
      </c>
      <c r="D4" s="26" t="s">
        <v>60</v>
      </c>
      <c r="R4" s="27"/>
    </row>
    <row r="5" spans="2:18" x14ac:dyDescent="0.2">
      <c r="B5" s="28" t="s">
        <v>61</v>
      </c>
      <c r="D5" s="29">
        <f>'Key inputs and assumptions'!C18*'Key inputs and assumptions'!$E$9</f>
        <v>2310000</v>
      </c>
      <c r="E5" s="29">
        <f>D5</f>
        <v>2310000</v>
      </c>
      <c r="F5" s="29">
        <f t="shared" ref="F5:R6" si="0">E5</f>
        <v>2310000</v>
      </c>
      <c r="G5" s="29">
        <f t="shared" si="0"/>
        <v>2310000</v>
      </c>
      <c r="H5" s="29">
        <f t="shared" si="0"/>
        <v>2310000</v>
      </c>
      <c r="I5" s="29">
        <f t="shared" si="0"/>
        <v>2310000</v>
      </c>
      <c r="J5" s="29">
        <f t="shared" si="0"/>
        <v>2310000</v>
      </c>
      <c r="K5" s="29">
        <f t="shared" si="0"/>
        <v>2310000</v>
      </c>
      <c r="L5" s="29">
        <f t="shared" si="0"/>
        <v>2310000</v>
      </c>
      <c r="M5" s="29">
        <f t="shared" si="0"/>
        <v>2310000</v>
      </c>
      <c r="N5" s="29">
        <f t="shared" si="0"/>
        <v>2310000</v>
      </c>
      <c r="O5" s="29">
        <f t="shared" si="0"/>
        <v>2310000</v>
      </c>
      <c r="P5" s="29">
        <f t="shared" si="0"/>
        <v>2310000</v>
      </c>
      <c r="Q5" s="29">
        <f t="shared" si="0"/>
        <v>2310000</v>
      </c>
      <c r="R5" s="30">
        <f t="shared" si="0"/>
        <v>2310000</v>
      </c>
    </row>
    <row r="6" spans="2:18" x14ac:dyDescent="0.2">
      <c r="B6" s="28" t="s">
        <v>62</v>
      </c>
      <c r="D6" s="31">
        <f>'Key inputs and assumptions'!C19*'Key inputs and assumptions'!E9</f>
        <v>1540000</v>
      </c>
      <c r="E6" s="32">
        <f>D6</f>
        <v>1540000</v>
      </c>
      <c r="F6" s="32">
        <f t="shared" si="0"/>
        <v>1540000</v>
      </c>
      <c r="G6" s="32">
        <f t="shared" si="0"/>
        <v>1540000</v>
      </c>
      <c r="H6" s="32">
        <f t="shared" si="0"/>
        <v>1540000</v>
      </c>
      <c r="I6" s="32">
        <f t="shared" si="0"/>
        <v>1540000</v>
      </c>
      <c r="J6" s="32">
        <f t="shared" si="0"/>
        <v>1540000</v>
      </c>
      <c r="K6" s="32">
        <f t="shared" si="0"/>
        <v>1540000</v>
      </c>
      <c r="L6" s="32">
        <f t="shared" si="0"/>
        <v>1540000</v>
      </c>
      <c r="M6" s="32">
        <f t="shared" si="0"/>
        <v>1540000</v>
      </c>
      <c r="N6" s="32">
        <f t="shared" si="0"/>
        <v>1540000</v>
      </c>
      <c r="O6" s="32">
        <f t="shared" si="0"/>
        <v>1540000</v>
      </c>
      <c r="P6" s="32">
        <f t="shared" si="0"/>
        <v>1540000</v>
      </c>
      <c r="Q6" s="32">
        <f t="shared" si="0"/>
        <v>1540000</v>
      </c>
      <c r="R6" s="33">
        <f t="shared" si="0"/>
        <v>1540000</v>
      </c>
    </row>
    <row r="7" spans="2:18" x14ac:dyDescent="0.2">
      <c r="B7" s="28" t="s">
        <v>63</v>
      </c>
      <c r="D7" s="29">
        <f>D5-D6</f>
        <v>770000</v>
      </c>
      <c r="E7" s="29">
        <f t="shared" ref="E7:R7" si="1">E5-E6</f>
        <v>770000</v>
      </c>
      <c r="F7" s="29">
        <f t="shared" si="1"/>
        <v>770000</v>
      </c>
      <c r="G7" s="29">
        <f t="shared" si="1"/>
        <v>770000</v>
      </c>
      <c r="H7" s="29">
        <f t="shared" si="1"/>
        <v>770000</v>
      </c>
      <c r="I7" s="29">
        <f t="shared" si="1"/>
        <v>770000</v>
      </c>
      <c r="J7" s="29">
        <f t="shared" si="1"/>
        <v>770000</v>
      </c>
      <c r="K7" s="29">
        <f t="shared" si="1"/>
        <v>770000</v>
      </c>
      <c r="L7" s="29">
        <f t="shared" si="1"/>
        <v>770000</v>
      </c>
      <c r="M7" s="29">
        <f t="shared" si="1"/>
        <v>770000</v>
      </c>
      <c r="N7" s="29">
        <f t="shared" si="1"/>
        <v>770000</v>
      </c>
      <c r="O7" s="29">
        <f t="shared" si="1"/>
        <v>770000</v>
      </c>
      <c r="P7" s="29">
        <f t="shared" si="1"/>
        <v>770000</v>
      </c>
      <c r="Q7" s="29">
        <f t="shared" si="1"/>
        <v>770000</v>
      </c>
      <c r="R7" s="30">
        <f t="shared" si="1"/>
        <v>770000</v>
      </c>
    </row>
    <row r="8" spans="2:18" x14ac:dyDescent="0.2">
      <c r="B8" s="28" t="s">
        <v>64</v>
      </c>
      <c r="D8" s="31">
        <f>'Key inputs and assumptions'!C21-'Key inputs and assumptions'!C25</f>
        <v>2000000</v>
      </c>
      <c r="E8" s="31">
        <f>D8-D12</f>
        <v>1750000</v>
      </c>
      <c r="F8" s="31">
        <f t="shared" ref="F8:R8" si="2">E8-E12</f>
        <v>1500000</v>
      </c>
      <c r="G8" s="31">
        <f t="shared" si="2"/>
        <v>1250000</v>
      </c>
      <c r="H8" s="31">
        <f t="shared" si="2"/>
        <v>1000000</v>
      </c>
      <c r="I8" s="31">
        <f t="shared" si="2"/>
        <v>750000</v>
      </c>
      <c r="J8" s="31">
        <f t="shared" si="2"/>
        <v>500000</v>
      </c>
      <c r="K8" s="31">
        <f t="shared" si="2"/>
        <v>250000</v>
      </c>
      <c r="L8" s="31">
        <f t="shared" si="2"/>
        <v>0</v>
      </c>
      <c r="M8" s="31">
        <f t="shared" si="2"/>
        <v>0</v>
      </c>
      <c r="N8" s="31">
        <f t="shared" si="2"/>
        <v>0</v>
      </c>
      <c r="O8" s="31">
        <f t="shared" si="2"/>
        <v>0</v>
      </c>
      <c r="P8" s="31">
        <f t="shared" si="2"/>
        <v>0</v>
      </c>
      <c r="Q8" s="31">
        <f t="shared" si="2"/>
        <v>0</v>
      </c>
      <c r="R8" s="34">
        <f t="shared" si="2"/>
        <v>0</v>
      </c>
    </row>
    <row r="9" spans="2:18" x14ac:dyDescent="0.2">
      <c r="B9" s="28" t="s">
        <v>65</v>
      </c>
      <c r="D9" s="31">
        <f t="shared" ref="D9:R9" si="3">D8*$C$13</f>
        <v>190000</v>
      </c>
      <c r="E9" s="31">
        <f t="shared" si="3"/>
        <v>166250</v>
      </c>
      <c r="F9" s="31">
        <f t="shared" si="3"/>
        <v>142500</v>
      </c>
      <c r="G9" s="31">
        <f t="shared" si="3"/>
        <v>118750</v>
      </c>
      <c r="H9" s="31">
        <f t="shared" si="3"/>
        <v>95000</v>
      </c>
      <c r="I9" s="31">
        <f t="shared" si="3"/>
        <v>71250</v>
      </c>
      <c r="J9" s="31">
        <f t="shared" si="3"/>
        <v>47500</v>
      </c>
      <c r="K9" s="31">
        <f t="shared" si="3"/>
        <v>23750</v>
      </c>
      <c r="L9" s="31">
        <f t="shared" si="3"/>
        <v>0</v>
      </c>
      <c r="M9" s="31">
        <f t="shared" si="3"/>
        <v>0</v>
      </c>
      <c r="N9" s="31">
        <f t="shared" si="3"/>
        <v>0</v>
      </c>
      <c r="O9" s="31">
        <f t="shared" si="3"/>
        <v>0</v>
      </c>
      <c r="P9" s="31">
        <f t="shared" si="3"/>
        <v>0</v>
      </c>
      <c r="Q9" s="31">
        <f t="shared" si="3"/>
        <v>0</v>
      </c>
      <c r="R9" s="34">
        <f t="shared" si="3"/>
        <v>0</v>
      </c>
    </row>
    <row r="10" spans="2:18" x14ac:dyDescent="0.2">
      <c r="B10" s="28" t="s">
        <v>66</v>
      </c>
      <c r="D10" s="35">
        <f>D7-D9</f>
        <v>580000</v>
      </c>
      <c r="E10" s="35">
        <f t="shared" ref="E10:R10" si="4">E7-E9</f>
        <v>603750</v>
      </c>
      <c r="F10" s="35">
        <f t="shared" si="4"/>
        <v>627500</v>
      </c>
      <c r="G10" s="35">
        <f t="shared" si="4"/>
        <v>651250</v>
      </c>
      <c r="H10" s="35">
        <f t="shared" si="4"/>
        <v>675000</v>
      </c>
      <c r="I10" s="35">
        <f t="shared" si="4"/>
        <v>698750</v>
      </c>
      <c r="J10" s="35">
        <f t="shared" si="4"/>
        <v>722500</v>
      </c>
      <c r="K10" s="35">
        <f t="shared" si="4"/>
        <v>746250</v>
      </c>
      <c r="L10" s="35">
        <f t="shared" si="4"/>
        <v>770000</v>
      </c>
      <c r="M10" s="35">
        <f t="shared" si="4"/>
        <v>770000</v>
      </c>
      <c r="N10" s="35">
        <f t="shared" si="4"/>
        <v>770000</v>
      </c>
      <c r="O10" s="35">
        <f t="shared" si="4"/>
        <v>770000</v>
      </c>
      <c r="P10" s="35">
        <f t="shared" si="4"/>
        <v>770000</v>
      </c>
      <c r="Q10" s="35">
        <f t="shared" si="4"/>
        <v>770000</v>
      </c>
      <c r="R10" s="36">
        <f t="shared" si="4"/>
        <v>770000</v>
      </c>
    </row>
    <row r="11" spans="2:18" x14ac:dyDescent="0.2">
      <c r="B11" s="28"/>
      <c r="D11" s="29"/>
      <c r="E11" s="29"/>
      <c r="F11" s="29"/>
      <c r="G11" s="29"/>
      <c r="H11" s="29"/>
      <c r="I11" s="29"/>
      <c r="J11" s="29"/>
      <c r="K11" s="29"/>
      <c r="L11" s="29"/>
      <c r="M11" s="29"/>
      <c r="N11" s="29"/>
      <c r="O11" s="29"/>
      <c r="P11" s="29"/>
      <c r="Q11" s="29"/>
      <c r="R11" s="30"/>
    </row>
    <row r="12" spans="2:18" x14ac:dyDescent="0.2">
      <c r="B12" s="28" t="s">
        <v>67</v>
      </c>
      <c r="D12" s="69">
        <f>D8/'Key inputs and assumptions'!$C$24</f>
        <v>250000</v>
      </c>
      <c r="E12" s="69">
        <f>D12</f>
        <v>250000</v>
      </c>
      <c r="F12" s="69">
        <f t="shared" ref="F12:K12" si="5">E12</f>
        <v>250000</v>
      </c>
      <c r="G12" s="69">
        <f t="shared" si="5"/>
        <v>250000</v>
      </c>
      <c r="H12" s="69">
        <f t="shared" si="5"/>
        <v>250000</v>
      </c>
      <c r="I12" s="69">
        <f t="shared" si="5"/>
        <v>250000</v>
      </c>
      <c r="J12" s="69">
        <f t="shared" si="5"/>
        <v>250000</v>
      </c>
      <c r="K12" s="69">
        <f t="shared" si="5"/>
        <v>250000</v>
      </c>
      <c r="L12" s="69"/>
      <c r="M12" s="69"/>
      <c r="N12" s="69"/>
      <c r="O12" s="69"/>
      <c r="P12" s="69"/>
      <c r="Q12" s="69"/>
      <c r="R12" s="70"/>
    </row>
    <row r="13" spans="2:18" ht="13.5" thickBot="1" x14ac:dyDescent="0.25">
      <c r="B13" s="37" t="s">
        <v>68</v>
      </c>
      <c r="C13" s="56">
        <f>'Key inputs and assumptions'!C23</f>
        <v>9.5000000000000001E-2</v>
      </c>
      <c r="D13" s="38" t="str">
        <f t="shared" ref="D13:R13" si="6">IF(D12=0,"",IF(D12&gt;D10,"Not Covered", "Ok"))</f>
        <v>Ok</v>
      </c>
      <c r="E13" s="38" t="str">
        <f t="shared" si="6"/>
        <v>Ok</v>
      </c>
      <c r="F13" s="38" t="str">
        <f t="shared" si="6"/>
        <v>Ok</v>
      </c>
      <c r="G13" s="38" t="str">
        <f t="shared" si="6"/>
        <v>Ok</v>
      </c>
      <c r="H13" s="38" t="str">
        <f t="shared" si="6"/>
        <v>Ok</v>
      </c>
      <c r="I13" s="38" t="str">
        <f t="shared" si="6"/>
        <v>Ok</v>
      </c>
      <c r="J13" s="38" t="str">
        <f t="shared" si="6"/>
        <v>Ok</v>
      </c>
      <c r="K13" s="38" t="str">
        <f t="shared" si="6"/>
        <v>Ok</v>
      </c>
      <c r="L13" s="38" t="str">
        <f t="shared" si="6"/>
        <v/>
      </c>
      <c r="M13" s="38" t="str">
        <f t="shared" si="6"/>
        <v/>
      </c>
      <c r="N13" s="38" t="str">
        <f t="shared" si="6"/>
        <v/>
      </c>
      <c r="O13" s="38" t="str">
        <f t="shared" si="6"/>
        <v/>
      </c>
      <c r="P13" s="38" t="str">
        <f t="shared" si="6"/>
        <v/>
      </c>
      <c r="Q13" s="38" t="str">
        <f t="shared" si="6"/>
        <v/>
      </c>
      <c r="R13" s="39" t="str">
        <f t="shared" si="6"/>
        <v/>
      </c>
    </row>
    <row r="14" spans="2:18" s="2" customFormat="1" ht="13.5" thickBot="1" x14ac:dyDescent="0.25">
      <c r="D14" s="40"/>
      <c r="E14" s="40"/>
      <c r="F14" s="40"/>
      <c r="G14" s="40"/>
      <c r="H14" s="40"/>
      <c r="I14" s="40"/>
      <c r="J14" s="40"/>
      <c r="K14" s="40"/>
      <c r="L14" s="40"/>
      <c r="M14" s="40"/>
      <c r="N14" s="40"/>
      <c r="O14" s="40"/>
      <c r="P14" s="40"/>
      <c r="Q14" s="40"/>
      <c r="R14" s="40"/>
    </row>
    <row r="15" spans="2:18" x14ac:dyDescent="0.2">
      <c r="B15" s="24" t="s">
        <v>69</v>
      </c>
      <c r="C15" s="41"/>
      <c r="D15" s="42" t="s">
        <v>44</v>
      </c>
      <c r="E15" s="42" t="s">
        <v>45</v>
      </c>
      <c r="F15" s="42" t="s">
        <v>46</v>
      </c>
      <c r="G15" s="42" t="s">
        <v>47</v>
      </c>
      <c r="H15" s="42" t="s">
        <v>48</v>
      </c>
      <c r="I15" s="42" t="s">
        <v>49</v>
      </c>
      <c r="J15" s="42" t="s">
        <v>50</v>
      </c>
      <c r="K15" s="42" t="s">
        <v>51</v>
      </c>
      <c r="L15" s="42" t="s">
        <v>52</v>
      </c>
      <c r="M15" s="42" t="s">
        <v>53</v>
      </c>
      <c r="N15" s="42" t="s">
        <v>54</v>
      </c>
      <c r="O15" s="42" t="s">
        <v>55</v>
      </c>
      <c r="P15" s="42" t="s">
        <v>56</v>
      </c>
      <c r="Q15" s="42" t="s">
        <v>57</v>
      </c>
      <c r="R15" s="43" t="s">
        <v>58</v>
      </c>
    </row>
    <row r="16" spans="2:18" x14ac:dyDescent="0.2">
      <c r="B16" s="25" t="s">
        <v>70</v>
      </c>
      <c r="D16" s="26" t="s">
        <v>60</v>
      </c>
      <c r="E16" s="29"/>
      <c r="F16" s="29"/>
      <c r="G16" s="29"/>
      <c r="H16" s="29"/>
      <c r="I16" s="29"/>
      <c r="J16" s="29"/>
      <c r="K16" s="29"/>
      <c r="L16" s="29"/>
      <c r="M16" s="29"/>
      <c r="N16" s="29"/>
      <c r="O16" s="29"/>
      <c r="P16" s="29"/>
      <c r="Q16" s="29"/>
      <c r="R16" s="30"/>
    </row>
    <row r="17" spans="2:18" x14ac:dyDescent="0.2">
      <c r="B17" s="28" t="s">
        <v>71</v>
      </c>
      <c r="D17" s="69"/>
      <c r="E17" s="69"/>
      <c r="F17" s="69"/>
      <c r="G17" s="69"/>
      <c r="H17" s="69">
        <f>100%*'Key inputs and assumptions'!$C$27*'Key inputs and assumptions'!$F$9</f>
        <v>1800000</v>
      </c>
      <c r="I17" s="69">
        <f>100%*'Key inputs and assumptions'!$C$27*'Key inputs and assumptions'!$F$9</f>
        <v>1800000</v>
      </c>
      <c r="J17" s="69">
        <f>100%*'Key inputs and assumptions'!$C$27*'Key inputs and assumptions'!$F$9</f>
        <v>1800000</v>
      </c>
      <c r="K17" s="69">
        <f>100%*'Key inputs and assumptions'!$C$27*'Key inputs and assumptions'!$F$9</f>
        <v>1800000</v>
      </c>
      <c r="L17" s="69">
        <f>100%*'Key inputs and assumptions'!$C$27*'Key inputs and assumptions'!$F$9</f>
        <v>1800000</v>
      </c>
      <c r="M17" s="69">
        <f>100%*'Key inputs and assumptions'!$C$27*'Key inputs and assumptions'!$F$9</f>
        <v>1800000</v>
      </c>
      <c r="N17" s="69">
        <f>100%*'Key inputs and assumptions'!$C$27*'Key inputs and assumptions'!$F$9</f>
        <v>1800000</v>
      </c>
      <c r="O17" s="69">
        <f>100%*'Key inputs and assumptions'!$C$27*'Key inputs and assumptions'!$F$9</f>
        <v>1800000</v>
      </c>
      <c r="P17" s="69">
        <f>100%*'Key inputs and assumptions'!$C$27*'Key inputs and assumptions'!$F$9</f>
        <v>1800000</v>
      </c>
      <c r="Q17" s="69">
        <f>100%*'Key inputs and assumptions'!$C$27*'Key inputs and assumptions'!$F$9</f>
        <v>1800000</v>
      </c>
      <c r="R17" s="70">
        <f>100%*'Key inputs and assumptions'!$C$27*'Key inputs and assumptions'!$F$9</f>
        <v>1800000</v>
      </c>
    </row>
    <row r="18" spans="2:18" x14ac:dyDescent="0.2">
      <c r="B18" s="28" t="s">
        <v>72</v>
      </c>
      <c r="D18" s="69">
        <f>0%*'Key inputs and assumptions'!$C$28*'Key inputs and assumptions'!$F$9</f>
        <v>0</v>
      </c>
      <c r="E18" s="69">
        <f>0%*'Key inputs and assumptions'!$C$28*'Key inputs and assumptions'!$F$9</f>
        <v>0</v>
      </c>
      <c r="F18" s="69">
        <f>20%*'Key inputs and assumptions'!$C$28*'Key inputs and assumptions'!$F$9</f>
        <v>240000</v>
      </c>
      <c r="G18" s="69">
        <f>30%*'Key inputs and assumptions'!$C$28*'Key inputs and assumptions'!$F$9</f>
        <v>360000</v>
      </c>
      <c r="H18" s="69">
        <f>100%*'Key inputs and assumptions'!$C$28*'Key inputs and assumptions'!$F$9</f>
        <v>1200000</v>
      </c>
      <c r="I18" s="69">
        <f>100%*'Key inputs and assumptions'!$C$28*'Key inputs and assumptions'!$F$9</f>
        <v>1200000</v>
      </c>
      <c r="J18" s="69">
        <f>100%*'Key inputs and assumptions'!$C$28*'Key inputs and assumptions'!$F$9</f>
        <v>1200000</v>
      </c>
      <c r="K18" s="69">
        <f>100%*'Key inputs and assumptions'!$C$28*'Key inputs and assumptions'!$F$9</f>
        <v>1200000</v>
      </c>
      <c r="L18" s="69">
        <f>100%*'Key inputs and assumptions'!$C$28*'Key inputs and assumptions'!$F$9</f>
        <v>1200000</v>
      </c>
      <c r="M18" s="69">
        <f>100%*'Key inputs and assumptions'!$C$28*'Key inputs and assumptions'!$F$9</f>
        <v>1200000</v>
      </c>
      <c r="N18" s="69">
        <f>100%*'Key inputs and assumptions'!$C$28*'Key inputs and assumptions'!$F$9</f>
        <v>1200000</v>
      </c>
      <c r="O18" s="69">
        <f>100%*'Key inputs and assumptions'!$C$28*'Key inputs and assumptions'!$F$9</f>
        <v>1200000</v>
      </c>
      <c r="P18" s="69">
        <f>100%*'Key inputs and assumptions'!$C$28*'Key inputs and assumptions'!$F$9</f>
        <v>1200000</v>
      </c>
      <c r="Q18" s="69">
        <f>100%*'Key inputs and assumptions'!$C$28*'Key inputs and assumptions'!$F$9</f>
        <v>1200000</v>
      </c>
      <c r="R18" s="70">
        <f>100%*'Key inputs and assumptions'!$C$28*'Key inputs and assumptions'!$F$9</f>
        <v>1200000</v>
      </c>
    </row>
    <row r="19" spans="2:18" x14ac:dyDescent="0.2">
      <c r="B19" s="28" t="s">
        <v>63</v>
      </c>
      <c r="D19" s="29">
        <f t="shared" ref="D19:R19" si="7">D17-D18</f>
        <v>0</v>
      </c>
      <c r="E19" s="29">
        <f t="shared" si="7"/>
        <v>0</v>
      </c>
      <c r="F19" s="29">
        <f t="shared" si="7"/>
        <v>-240000</v>
      </c>
      <c r="G19" s="29">
        <f t="shared" si="7"/>
        <v>-360000</v>
      </c>
      <c r="H19" s="29">
        <f t="shared" si="7"/>
        <v>600000</v>
      </c>
      <c r="I19" s="29">
        <f t="shared" si="7"/>
        <v>600000</v>
      </c>
      <c r="J19" s="29">
        <f t="shared" si="7"/>
        <v>600000</v>
      </c>
      <c r="K19" s="29">
        <f t="shared" si="7"/>
        <v>600000</v>
      </c>
      <c r="L19" s="29">
        <f t="shared" si="7"/>
        <v>600000</v>
      </c>
      <c r="M19" s="29">
        <f t="shared" si="7"/>
        <v>600000</v>
      </c>
      <c r="N19" s="29">
        <f t="shared" si="7"/>
        <v>600000</v>
      </c>
      <c r="O19" s="29">
        <f t="shared" si="7"/>
        <v>600000</v>
      </c>
      <c r="P19" s="29">
        <f t="shared" si="7"/>
        <v>600000</v>
      </c>
      <c r="Q19" s="29">
        <f t="shared" si="7"/>
        <v>600000</v>
      </c>
      <c r="R19" s="30">
        <f t="shared" si="7"/>
        <v>600000</v>
      </c>
    </row>
    <row r="20" spans="2:18" x14ac:dyDescent="0.2">
      <c r="B20" s="28" t="s">
        <v>73</v>
      </c>
      <c r="D20" s="71">
        <v>0.2</v>
      </c>
      <c r="E20" s="71">
        <v>0.3</v>
      </c>
      <c r="F20" s="71">
        <v>0.5</v>
      </c>
      <c r="G20" s="71"/>
      <c r="H20" s="69"/>
      <c r="I20" s="31"/>
      <c r="J20" s="31"/>
      <c r="K20" s="31"/>
      <c r="L20" s="31"/>
      <c r="M20" s="31"/>
      <c r="N20" s="31"/>
      <c r="O20" s="31"/>
      <c r="P20" s="31"/>
      <c r="Q20" s="31"/>
      <c r="R20" s="34"/>
    </row>
    <row r="21" spans="2:18" x14ac:dyDescent="0.2">
      <c r="B21" s="28" t="s">
        <v>74</v>
      </c>
      <c r="D21" s="72">
        <f>('Key inputs and assumptions'!$C$14*D20)+C21-C25</f>
        <v>400000</v>
      </c>
      <c r="E21" s="72">
        <f>('Key inputs and assumptions'!$C$14*E20)+D21-D25</f>
        <v>1000000</v>
      </c>
      <c r="F21" s="72">
        <f>('Key inputs and assumptions'!$C$14*F20)+E21-E25</f>
        <v>2000000</v>
      </c>
      <c r="G21" s="72">
        <f>('Key inputs and assumptions'!$C$14*G20)+F21-F25</f>
        <v>2000000</v>
      </c>
      <c r="H21" s="69">
        <f>('Key inputs and assumptions'!$C$14*H20)+G21-G25</f>
        <v>2000000</v>
      </c>
      <c r="I21" s="69">
        <f>('Key inputs and assumptions'!$C$14*I20)+H21-H25</f>
        <v>1750000</v>
      </c>
      <c r="J21" s="69">
        <f>('Key inputs and assumptions'!$C$14*J20)+I21-I25</f>
        <v>1500000</v>
      </c>
      <c r="K21" s="69">
        <f>('Key inputs and assumptions'!$C$14*K20)+J21-J25</f>
        <v>1250000</v>
      </c>
      <c r="L21" s="69">
        <f>('Key inputs and assumptions'!$C$14*L20)+K21-K25</f>
        <v>1000000</v>
      </c>
      <c r="M21" s="69">
        <f>('Key inputs and assumptions'!$C$14*M20)+L21-L25</f>
        <v>750000</v>
      </c>
      <c r="N21" s="69">
        <f>('Key inputs and assumptions'!$C$14*N20)+M21-M25</f>
        <v>500000</v>
      </c>
      <c r="O21" s="69">
        <f>('Key inputs and assumptions'!$C$14*O20)+N21-N25</f>
        <v>250000</v>
      </c>
      <c r="P21" s="69">
        <f>('Key inputs and assumptions'!$C$14*P20)+O21-O25</f>
        <v>0</v>
      </c>
      <c r="Q21" s="69">
        <f>('Key inputs and assumptions'!$C$14*Q20)+P21-P25</f>
        <v>0</v>
      </c>
      <c r="R21" s="70">
        <f>('Key inputs and assumptions'!$C$14*R20)+Q21-Q25</f>
        <v>0</v>
      </c>
    </row>
    <row r="22" spans="2:18" x14ac:dyDescent="0.2">
      <c r="B22" s="28" t="s">
        <v>65</v>
      </c>
      <c r="D22" s="31">
        <f>D21*$C$26</f>
        <v>0</v>
      </c>
      <c r="E22" s="31">
        <f>E21*$C$26</f>
        <v>0</v>
      </c>
      <c r="F22" s="31">
        <f>F21*$C$26</f>
        <v>0</v>
      </c>
      <c r="G22" s="31">
        <f>G21*$C$26</f>
        <v>0</v>
      </c>
      <c r="H22" s="31">
        <f t="shared" ref="H22:R22" si="8">H21*$C$27</f>
        <v>120000</v>
      </c>
      <c r="I22" s="31">
        <f t="shared" si="8"/>
        <v>105000</v>
      </c>
      <c r="J22" s="31">
        <f t="shared" si="8"/>
        <v>90000</v>
      </c>
      <c r="K22" s="31">
        <f t="shared" si="8"/>
        <v>75000</v>
      </c>
      <c r="L22" s="31">
        <f t="shared" si="8"/>
        <v>60000</v>
      </c>
      <c r="M22" s="31">
        <f t="shared" si="8"/>
        <v>45000</v>
      </c>
      <c r="N22" s="31">
        <f t="shared" si="8"/>
        <v>30000</v>
      </c>
      <c r="O22" s="31">
        <f t="shared" si="8"/>
        <v>15000</v>
      </c>
      <c r="P22" s="31">
        <f t="shared" si="8"/>
        <v>0</v>
      </c>
      <c r="Q22" s="31">
        <f t="shared" si="8"/>
        <v>0</v>
      </c>
      <c r="R22" s="34">
        <f t="shared" si="8"/>
        <v>0</v>
      </c>
    </row>
    <row r="23" spans="2:18" x14ac:dyDescent="0.2">
      <c r="B23" s="28" t="s">
        <v>66</v>
      </c>
      <c r="D23" s="35">
        <f t="shared" ref="D23:R23" si="9">D19-D22</f>
        <v>0</v>
      </c>
      <c r="E23" s="35">
        <f t="shared" si="9"/>
        <v>0</v>
      </c>
      <c r="F23" s="35">
        <f t="shared" si="9"/>
        <v>-240000</v>
      </c>
      <c r="G23" s="35">
        <f t="shared" si="9"/>
        <v>-360000</v>
      </c>
      <c r="H23" s="35">
        <f t="shared" si="9"/>
        <v>480000</v>
      </c>
      <c r="I23" s="35">
        <f t="shared" si="9"/>
        <v>495000</v>
      </c>
      <c r="J23" s="35">
        <f t="shared" si="9"/>
        <v>510000</v>
      </c>
      <c r="K23" s="35">
        <f t="shared" si="9"/>
        <v>525000</v>
      </c>
      <c r="L23" s="35">
        <f t="shared" si="9"/>
        <v>540000</v>
      </c>
      <c r="M23" s="35">
        <f t="shared" si="9"/>
        <v>555000</v>
      </c>
      <c r="N23" s="35">
        <f t="shared" si="9"/>
        <v>570000</v>
      </c>
      <c r="O23" s="35">
        <f t="shared" si="9"/>
        <v>585000</v>
      </c>
      <c r="P23" s="35">
        <f t="shared" si="9"/>
        <v>600000</v>
      </c>
      <c r="Q23" s="35">
        <f t="shared" si="9"/>
        <v>600000</v>
      </c>
      <c r="R23" s="36">
        <f t="shared" si="9"/>
        <v>600000</v>
      </c>
    </row>
    <row r="24" spans="2:18" x14ac:dyDescent="0.2">
      <c r="B24" s="28"/>
      <c r="D24" s="29"/>
      <c r="E24" s="29"/>
      <c r="F24" s="29"/>
      <c r="G24" s="29"/>
      <c r="H24" s="29"/>
      <c r="I24" s="29"/>
      <c r="J24" s="29"/>
      <c r="K24" s="29"/>
      <c r="L24" s="29"/>
      <c r="M24" s="29"/>
      <c r="N24" s="29"/>
      <c r="O24" s="29"/>
      <c r="P24" s="29"/>
      <c r="Q24" s="29"/>
      <c r="R24" s="30"/>
    </row>
    <row r="25" spans="2:18" x14ac:dyDescent="0.2">
      <c r="B25" s="28" t="s">
        <v>75</v>
      </c>
      <c r="D25" s="69"/>
      <c r="E25" s="69"/>
      <c r="F25" s="69"/>
      <c r="G25" s="69"/>
      <c r="H25" s="69">
        <f>H21/8</f>
        <v>250000</v>
      </c>
      <c r="I25" s="69">
        <f t="shared" ref="I25:O25" si="10">H25</f>
        <v>250000</v>
      </c>
      <c r="J25" s="69">
        <f t="shared" si="10"/>
        <v>250000</v>
      </c>
      <c r="K25" s="69">
        <f t="shared" si="10"/>
        <v>250000</v>
      </c>
      <c r="L25" s="69">
        <f t="shared" si="10"/>
        <v>250000</v>
      </c>
      <c r="M25" s="69">
        <f t="shared" si="10"/>
        <v>250000</v>
      </c>
      <c r="N25" s="69">
        <f t="shared" si="10"/>
        <v>250000</v>
      </c>
      <c r="O25" s="69">
        <f t="shared" si="10"/>
        <v>250000</v>
      </c>
      <c r="P25" s="69"/>
      <c r="Q25" s="69"/>
      <c r="R25" s="70"/>
    </row>
    <row r="26" spans="2:18" x14ac:dyDescent="0.2">
      <c r="B26" s="28" t="s">
        <v>76</v>
      </c>
      <c r="C26" s="60">
        <v>0</v>
      </c>
      <c r="D26" s="29" t="str">
        <f>IF(D25=0,"",IF(D25&gt;D23,"Not Covered", "Ok"))</f>
        <v/>
      </c>
      <c r="E26" s="29" t="str">
        <f>IF(E25=0,"",IF(E25&gt;E23,"Not Covered", "Ok"))</f>
        <v/>
      </c>
      <c r="F26" s="29" t="str">
        <f>IF(F25=0,"",IF(F25&gt;F23, "Not covered", "Ok"))</f>
        <v/>
      </c>
      <c r="G26" s="29" t="str">
        <f>IF(G25=0,"",IF(G25&gt;G23, "Not covered", "Ok"))</f>
        <v/>
      </c>
      <c r="H26" s="29" t="str">
        <f>IF(H25=0,"",IF(H25&gt;H23, "Not covered", "Ok"))</f>
        <v>Ok</v>
      </c>
      <c r="I26" s="29" t="str">
        <f>IF(I25=0,"",IF(I25&gt;I23, "Not covered", "Ok"))</f>
        <v>Ok</v>
      </c>
      <c r="J26" s="29" t="str">
        <f>IF(J25=0,"",IF(J25&gt;J23, "Not covered", "Ok"))</f>
        <v>Ok</v>
      </c>
      <c r="K26" s="29" t="str">
        <f t="shared" ref="K26:Q26" si="11">IF(K25=0,"",IF(K25&gt;K23, "Not covered", "Ok"))</f>
        <v>Ok</v>
      </c>
      <c r="L26" s="29" t="str">
        <f t="shared" si="11"/>
        <v>Ok</v>
      </c>
      <c r="M26" s="29" t="str">
        <f t="shared" si="11"/>
        <v>Ok</v>
      </c>
      <c r="N26" s="29" t="str">
        <f t="shared" si="11"/>
        <v>Ok</v>
      </c>
      <c r="O26" s="29" t="str">
        <f t="shared" si="11"/>
        <v>Ok</v>
      </c>
      <c r="P26" s="29" t="str">
        <f t="shared" si="11"/>
        <v/>
      </c>
      <c r="Q26" s="29" t="str">
        <f t="shared" si="11"/>
        <v/>
      </c>
      <c r="R26" s="30" t="str">
        <f>IF(R25=0,"",IF(R25&gt;R23,"Not Covered", "Ok"))</f>
        <v/>
      </c>
    </row>
    <row r="27" spans="2:18" ht="13.5" thickBot="1" x14ac:dyDescent="0.25">
      <c r="B27" s="37" t="s">
        <v>77</v>
      </c>
      <c r="C27" s="61">
        <v>0.06</v>
      </c>
      <c r="D27" s="44"/>
      <c r="E27" s="44"/>
      <c r="F27" s="44"/>
      <c r="G27" s="44"/>
      <c r="H27" s="44"/>
      <c r="I27" s="44"/>
      <c r="J27" s="44"/>
      <c r="K27" s="44"/>
      <c r="L27" s="44"/>
      <c r="M27" s="44"/>
      <c r="N27" s="44"/>
      <c r="O27" s="44"/>
      <c r="P27" s="44"/>
      <c r="Q27" s="44"/>
      <c r="R27" s="45"/>
    </row>
    <row r="28" spans="2:18" s="2" customFormat="1" ht="13.5" thickBot="1" x14ac:dyDescent="0.25">
      <c r="D28" s="40"/>
      <c r="E28" s="40"/>
      <c r="F28" s="40"/>
      <c r="G28" s="40"/>
      <c r="H28" s="40"/>
      <c r="I28" s="40"/>
      <c r="J28" s="40"/>
      <c r="K28" s="40"/>
      <c r="L28" s="40"/>
      <c r="M28" s="40"/>
      <c r="N28" s="40"/>
      <c r="O28" s="40"/>
      <c r="P28" s="40"/>
      <c r="Q28" s="40"/>
      <c r="R28" s="40"/>
    </row>
    <row r="29" spans="2:18" x14ac:dyDescent="0.2">
      <c r="B29" s="24" t="s">
        <v>78</v>
      </c>
      <c r="C29" s="41"/>
      <c r="D29" s="42" t="str">
        <f>'Forecast Income Statements'!D3</f>
        <v>T+1</v>
      </c>
      <c r="E29" s="42" t="str">
        <f>'Forecast Income Statements'!E3</f>
        <v>T+2</v>
      </c>
      <c r="F29" s="42" t="str">
        <f>'Forecast Income Statements'!F3</f>
        <v>T+3</v>
      </c>
      <c r="G29" s="42" t="str">
        <f>'Forecast Income Statements'!G3</f>
        <v>T+4</v>
      </c>
      <c r="H29" s="42" t="str">
        <f>'Forecast Income Statements'!H3</f>
        <v>T+5</v>
      </c>
      <c r="I29" s="42" t="str">
        <f>'Forecast Income Statements'!I3</f>
        <v>T+6</v>
      </c>
      <c r="J29" s="42" t="str">
        <f>'Forecast Income Statements'!J3</f>
        <v>T+7</v>
      </c>
      <c r="K29" s="42" t="str">
        <f>'Forecast Income Statements'!K3</f>
        <v>T+8</v>
      </c>
      <c r="L29" s="42" t="str">
        <f>'Forecast Income Statements'!L3</f>
        <v>T+9</v>
      </c>
      <c r="M29" s="42" t="str">
        <f>'Forecast Income Statements'!M3</f>
        <v>T+10</v>
      </c>
      <c r="N29" s="42" t="str">
        <f>'Forecast Income Statements'!N3</f>
        <v>T+11</v>
      </c>
      <c r="O29" s="42" t="str">
        <f>'Forecast Income Statements'!O3</f>
        <v>T+12</v>
      </c>
      <c r="P29" s="42" t="str">
        <f>'Forecast Income Statements'!P3</f>
        <v>T+13</v>
      </c>
      <c r="Q29" s="42" t="str">
        <f>'Forecast Income Statements'!Q3</f>
        <v>T+14</v>
      </c>
      <c r="R29" s="43" t="str">
        <f>'Forecast Income Statements'!R3</f>
        <v>T+15</v>
      </c>
    </row>
    <row r="30" spans="2:18" x14ac:dyDescent="0.2">
      <c r="B30" s="25" t="s">
        <v>70</v>
      </c>
      <c r="D30" s="26" t="s">
        <v>60</v>
      </c>
      <c r="E30" s="29"/>
      <c r="F30" s="29"/>
      <c r="G30" s="29"/>
      <c r="H30" s="29"/>
      <c r="I30" s="29"/>
      <c r="J30" s="29"/>
      <c r="K30" s="29"/>
      <c r="L30" s="29"/>
      <c r="M30" s="29"/>
      <c r="N30" s="29"/>
      <c r="O30" s="29"/>
      <c r="P30" s="29"/>
      <c r="Q30" s="29"/>
      <c r="R30" s="30"/>
    </row>
    <row r="31" spans="2:18" x14ac:dyDescent="0.2">
      <c r="B31" s="28" t="s">
        <v>61</v>
      </c>
      <c r="D31" s="29">
        <f>'Forecast Income Statements'!D5+'Forecast Income Statements'!D17</f>
        <v>2310000</v>
      </c>
      <c r="E31" s="29">
        <f>'Forecast Income Statements'!E5+'Forecast Income Statements'!E17</f>
        <v>2310000</v>
      </c>
      <c r="F31" s="29">
        <f>'Forecast Income Statements'!F5+'Forecast Income Statements'!F17</f>
        <v>2310000</v>
      </c>
      <c r="G31" s="29">
        <f>'Forecast Income Statements'!G5+'Forecast Income Statements'!G17</f>
        <v>2310000</v>
      </c>
      <c r="H31" s="29">
        <f>'Forecast Income Statements'!H5+'Forecast Income Statements'!H17</f>
        <v>4110000</v>
      </c>
      <c r="I31" s="29">
        <f>'Forecast Income Statements'!I5+'Forecast Income Statements'!I17</f>
        <v>4110000</v>
      </c>
      <c r="J31" s="29">
        <f>'Forecast Income Statements'!J5+'Forecast Income Statements'!J17</f>
        <v>4110000</v>
      </c>
      <c r="K31" s="29">
        <f>'Forecast Income Statements'!K5+'Forecast Income Statements'!K17</f>
        <v>4110000</v>
      </c>
      <c r="L31" s="29">
        <f>'Forecast Income Statements'!L5+'Forecast Income Statements'!L17</f>
        <v>4110000</v>
      </c>
      <c r="M31" s="29">
        <f>'Forecast Income Statements'!M5+'Forecast Income Statements'!M17</f>
        <v>4110000</v>
      </c>
      <c r="N31" s="29">
        <f>'Forecast Income Statements'!N5+'Forecast Income Statements'!N17</f>
        <v>4110000</v>
      </c>
      <c r="O31" s="29">
        <f>'Forecast Income Statements'!O5+'Forecast Income Statements'!O17</f>
        <v>4110000</v>
      </c>
      <c r="P31" s="29">
        <f>'Forecast Income Statements'!P5+'Forecast Income Statements'!P17</f>
        <v>4110000</v>
      </c>
      <c r="Q31" s="29">
        <f>'Forecast Income Statements'!Q5+'Forecast Income Statements'!Q17</f>
        <v>4110000</v>
      </c>
      <c r="R31" s="30">
        <f>'Forecast Income Statements'!R5+'Forecast Income Statements'!R17</f>
        <v>4110000</v>
      </c>
    </row>
    <row r="32" spans="2:18" x14ac:dyDescent="0.2">
      <c r="B32" s="28" t="s">
        <v>62</v>
      </c>
      <c r="D32" s="29">
        <f>'Forecast Income Statements'!D6+'Forecast Income Statements'!D18</f>
        <v>1540000</v>
      </c>
      <c r="E32" s="29">
        <f>'Forecast Income Statements'!E6+'Forecast Income Statements'!E18</f>
        <v>1540000</v>
      </c>
      <c r="F32" s="29">
        <f>'Forecast Income Statements'!F6+'Forecast Income Statements'!F18</f>
        <v>1780000</v>
      </c>
      <c r="G32" s="29">
        <f>'Forecast Income Statements'!G6+'Forecast Income Statements'!G18</f>
        <v>1900000</v>
      </c>
      <c r="H32" s="29">
        <f>'Forecast Income Statements'!H6+'Forecast Income Statements'!H18</f>
        <v>2740000</v>
      </c>
      <c r="I32" s="29">
        <f>'Forecast Income Statements'!I6+'Forecast Income Statements'!I18</f>
        <v>2740000</v>
      </c>
      <c r="J32" s="29">
        <f>'Forecast Income Statements'!J6+'Forecast Income Statements'!J18</f>
        <v>2740000</v>
      </c>
      <c r="K32" s="29">
        <f>'Forecast Income Statements'!K6+'Forecast Income Statements'!K18</f>
        <v>2740000</v>
      </c>
      <c r="L32" s="29">
        <f>'Forecast Income Statements'!L6+'Forecast Income Statements'!L18</f>
        <v>2740000</v>
      </c>
      <c r="M32" s="29">
        <f>'Forecast Income Statements'!M6+'Forecast Income Statements'!M18</f>
        <v>2740000</v>
      </c>
      <c r="N32" s="29">
        <f>'Forecast Income Statements'!N6+'Forecast Income Statements'!N18</f>
        <v>2740000</v>
      </c>
      <c r="O32" s="29">
        <f>'Forecast Income Statements'!O6+'Forecast Income Statements'!O18</f>
        <v>2740000</v>
      </c>
      <c r="P32" s="29">
        <f>'Forecast Income Statements'!P6+'Forecast Income Statements'!P18</f>
        <v>2740000</v>
      </c>
      <c r="Q32" s="29">
        <f>'Forecast Income Statements'!Q6+'Forecast Income Statements'!Q18</f>
        <v>2740000</v>
      </c>
      <c r="R32" s="30">
        <f>'Forecast Income Statements'!R6+'Forecast Income Statements'!R18</f>
        <v>2740000</v>
      </c>
    </row>
    <row r="33" spans="2:18" x14ac:dyDescent="0.2">
      <c r="B33" s="28" t="s">
        <v>63</v>
      </c>
      <c r="D33" s="35">
        <f>'Forecast Income Statements'!D7+'Forecast Income Statements'!D19</f>
        <v>770000</v>
      </c>
      <c r="E33" s="35">
        <f>'Forecast Income Statements'!E7+'Forecast Income Statements'!E19</f>
        <v>770000</v>
      </c>
      <c r="F33" s="35">
        <f>'Forecast Income Statements'!F7+'Forecast Income Statements'!F19</f>
        <v>530000</v>
      </c>
      <c r="G33" s="35">
        <f>'Forecast Income Statements'!G7+'Forecast Income Statements'!G19</f>
        <v>410000</v>
      </c>
      <c r="H33" s="35">
        <f>'Forecast Income Statements'!H7+'Forecast Income Statements'!H19</f>
        <v>1370000</v>
      </c>
      <c r="I33" s="35">
        <f>'Forecast Income Statements'!I7+'Forecast Income Statements'!I19</f>
        <v>1370000</v>
      </c>
      <c r="J33" s="35">
        <f>'Forecast Income Statements'!J7+'Forecast Income Statements'!J19</f>
        <v>1370000</v>
      </c>
      <c r="K33" s="35">
        <f>'Forecast Income Statements'!K7+'Forecast Income Statements'!K19</f>
        <v>1370000</v>
      </c>
      <c r="L33" s="35">
        <f>'Forecast Income Statements'!L7+'Forecast Income Statements'!L19</f>
        <v>1370000</v>
      </c>
      <c r="M33" s="35">
        <f>'Forecast Income Statements'!M7+'Forecast Income Statements'!M19</f>
        <v>1370000</v>
      </c>
      <c r="N33" s="35">
        <f>'Forecast Income Statements'!N7+'Forecast Income Statements'!N19</f>
        <v>1370000</v>
      </c>
      <c r="O33" s="35">
        <f>'Forecast Income Statements'!O7+'Forecast Income Statements'!O19</f>
        <v>1370000</v>
      </c>
      <c r="P33" s="35">
        <f>'Forecast Income Statements'!P7+'Forecast Income Statements'!P19</f>
        <v>1370000</v>
      </c>
      <c r="Q33" s="35">
        <f>'Forecast Income Statements'!Q7+'Forecast Income Statements'!Q19</f>
        <v>1370000</v>
      </c>
      <c r="R33" s="36">
        <f>'Forecast Income Statements'!R7+'Forecast Income Statements'!R19</f>
        <v>1370000</v>
      </c>
    </row>
    <row r="34" spans="2:18" x14ac:dyDescent="0.2">
      <c r="B34" s="28" t="s">
        <v>64</v>
      </c>
      <c r="D34" s="29">
        <f>'Forecast Income Statements'!D8+'Forecast Income Statements'!D21</f>
        <v>2400000</v>
      </c>
      <c r="E34" s="29">
        <f>'Forecast Income Statements'!E8+'Forecast Income Statements'!E21</f>
        <v>2750000</v>
      </c>
      <c r="F34" s="29">
        <f>'Forecast Income Statements'!F8+'Forecast Income Statements'!F21</f>
        <v>3500000</v>
      </c>
      <c r="G34" s="29">
        <f>'Forecast Income Statements'!G8+'Forecast Income Statements'!G21</f>
        <v>3250000</v>
      </c>
      <c r="H34" s="29">
        <f>'Forecast Income Statements'!H8+'Forecast Income Statements'!H21</f>
        <v>3000000</v>
      </c>
      <c r="I34" s="29">
        <f>'Forecast Income Statements'!I8+'Forecast Income Statements'!I21</f>
        <v>2500000</v>
      </c>
      <c r="J34" s="29">
        <f>'Forecast Income Statements'!J8+'Forecast Income Statements'!J21</f>
        <v>2000000</v>
      </c>
      <c r="K34" s="29">
        <f>'Forecast Income Statements'!K8+'Forecast Income Statements'!K21</f>
        <v>1500000</v>
      </c>
      <c r="L34" s="29">
        <f>'Forecast Income Statements'!L8+'Forecast Income Statements'!L21</f>
        <v>1000000</v>
      </c>
      <c r="M34" s="29">
        <f>'Forecast Income Statements'!M8+'Forecast Income Statements'!M21</f>
        <v>750000</v>
      </c>
      <c r="N34" s="29">
        <f>'Forecast Income Statements'!N8+'Forecast Income Statements'!N21</f>
        <v>500000</v>
      </c>
      <c r="O34" s="29">
        <f>'Forecast Income Statements'!O8+'Forecast Income Statements'!O21</f>
        <v>250000</v>
      </c>
      <c r="P34" s="29">
        <f>'Forecast Income Statements'!P8+'Forecast Income Statements'!P21</f>
        <v>0</v>
      </c>
      <c r="Q34" s="29">
        <f>'Forecast Income Statements'!Q8+'Forecast Income Statements'!Q21</f>
        <v>0</v>
      </c>
      <c r="R34" s="30">
        <f>'Forecast Income Statements'!R8+'Forecast Income Statements'!R21</f>
        <v>0</v>
      </c>
    </row>
    <row r="35" spans="2:18" x14ac:dyDescent="0.2">
      <c r="B35" s="28" t="s">
        <v>65</v>
      </c>
      <c r="D35" s="29">
        <f>'Forecast Income Statements'!D9+'Forecast Income Statements'!D22</f>
        <v>190000</v>
      </c>
      <c r="E35" s="29">
        <f>'Forecast Income Statements'!E9+'Forecast Income Statements'!E22</f>
        <v>166250</v>
      </c>
      <c r="F35" s="29">
        <f>'Forecast Income Statements'!F9+'Forecast Income Statements'!F22</f>
        <v>142500</v>
      </c>
      <c r="G35" s="29">
        <f>'Forecast Income Statements'!G9+'Forecast Income Statements'!G22</f>
        <v>118750</v>
      </c>
      <c r="H35" s="29">
        <f>'Forecast Income Statements'!H9+'Forecast Income Statements'!H22</f>
        <v>215000</v>
      </c>
      <c r="I35" s="29">
        <f>'Forecast Income Statements'!I9+'Forecast Income Statements'!H22</f>
        <v>191250</v>
      </c>
      <c r="J35" s="29">
        <f>'Forecast Income Statements'!J9+'Forecast Income Statements'!I22</f>
        <v>152500</v>
      </c>
      <c r="K35" s="29">
        <f>'Forecast Income Statements'!K9+'Forecast Income Statements'!K22</f>
        <v>98750</v>
      </c>
      <c r="L35" s="29">
        <f>'Forecast Income Statements'!L9+'Forecast Income Statements'!L22</f>
        <v>60000</v>
      </c>
      <c r="M35" s="29">
        <f>'Forecast Income Statements'!M9+'Forecast Income Statements'!M22</f>
        <v>45000</v>
      </c>
      <c r="N35" s="29">
        <f>'Forecast Income Statements'!N9+'Forecast Income Statements'!N22</f>
        <v>30000</v>
      </c>
      <c r="O35" s="29">
        <f>'Forecast Income Statements'!O9+'Forecast Income Statements'!O22</f>
        <v>15000</v>
      </c>
      <c r="P35" s="29">
        <f>'Forecast Income Statements'!P9+'Forecast Income Statements'!P22</f>
        <v>0</v>
      </c>
      <c r="Q35" s="29">
        <f>'Forecast Income Statements'!Q9+'Forecast Income Statements'!Q22</f>
        <v>0</v>
      </c>
      <c r="R35" s="30">
        <f>'Forecast Income Statements'!R9+'Forecast Income Statements'!R22</f>
        <v>0</v>
      </c>
    </row>
    <row r="36" spans="2:18" x14ac:dyDescent="0.2">
      <c r="B36" s="28" t="s">
        <v>66</v>
      </c>
      <c r="D36" s="35">
        <f>'Forecast Income Statements'!D10+'Forecast Income Statements'!D23</f>
        <v>580000</v>
      </c>
      <c r="E36" s="35">
        <f>'Forecast Income Statements'!E10+'Forecast Income Statements'!E23</f>
        <v>603750</v>
      </c>
      <c r="F36" s="35">
        <f>'Forecast Income Statements'!F10+'Forecast Income Statements'!F23</f>
        <v>387500</v>
      </c>
      <c r="G36" s="35">
        <f>'Forecast Income Statements'!G10+'Forecast Income Statements'!G23</f>
        <v>291250</v>
      </c>
      <c r="H36" s="35">
        <f>'Forecast Income Statements'!H10+'Forecast Income Statements'!H23</f>
        <v>1155000</v>
      </c>
      <c r="I36" s="35">
        <f>'Forecast Income Statements'!I10+'Forecast Income Statements'!I23</f>
        <v>1193750</v>
      </c>
      <c r="J36" s="35">
        <f>'Forecast Income Statements'!J10+'Forecast Income Statements'!J23</f>
        <v>1232500</v>
      </c>
      <c r="K36" s="35">
        <f>'Forecast Income Statements'!K10+'Forecast Income Statements'!K23</f>
        <v>1271250</v>
      </c>
      <c r="L36" s="35">
        <f>'Forecast Income Statements'!L10+'Forecast Income Statements'!L23</f>
        <v>1310000</v>
      </c>
      <c r="M36" s="35">
        <f>'Forecast Income Statements'!M10+'Forecast Income Statements'!M23</f>
        <v>1325000</v>
      </c>
      <c r="N36" s="35">
        <f>'Forecast Income Statements'!N10+'Forecast Income Statements'!N23</f>
        <v>1340000</v>
      </c>
      <c r="O36" s="35">
        <f>'Forecast Income Statements'!O10+'Forecast Income Statements'!O23</f>
        <v>1355000</v>
      </c>
      <c r="P36" s="35">
        <f>'Forecast Income Statements'!P10+'Forecast Income Statements'!P23</f>
        <v>1370000</v>
      </c>
      <c r="Q36" s="35">
        <f>'Forecast Income Statements'!Q10+'Forecast Income Statements'!Q23</f>
        <v>1370000</v>
      </c>
      <c r="R36" s="36">
        <f>'Forecast Income Statements'!R10+'Forecast Income Statements'!R23</f>
        <v>1370000</v>
      </c>
    </row>
    <row r="37" spans="2:18" x14ac:dyDescent="0.2">
      <c r="B37" s="46"/>
      <c r="C37" s="47"/>
      <c r="D37" s="29"/>
      <c r="E37" s="29"/>
      <c r="F37" s="29"/>
      <c r="G37" s="29"/>
      <c r="H37" s="29"/>
      <c r="I37" s="29"/>
      <c r="J37" s="29"/>
      <c r="K37" s="29"/>
      <c r="L37" s="29"/>
      <c r="M37" s="29"/>
      <c r="N37" s="29"/>
      <c r="O37" s="29"/>
      <c r="P37" s="29"/>
      <c r="Q37" s="29"/>
      <c r="R37" s="30"/>
    </row>
    <row r="38" spans="2:18" x14ac:dyDescent="0.2">
      <c r="B38" s="28" t="s">
        <v>79</v>
      </c>
      <c r="D38" s="29">
        <f>'Forecast Income Statements'!D12+'Forecast Income Statements'!D25</f>
        <v>250000</v>
      </c>
      <c r="E38" s="29">
        <f>'Forecast Income Statements'!E12+'Forecast Income Statements'!E25</f>
        <v>250000</v>
      </c>
      <c r="F38" s="29">
        <f>'Forecast Income Statements'!F12+'Forecast Income Statements'!F25</f>
        <v>250000</v>
      </c>
      <c r="G38" s="29">
        <f>'Forecast Income Statements'!G12+'Forecast Income Statements'!G25</f>
        <v>250000</v>
      </c>
      <c r="H38" s="29">
        <f>'Forecast Income Statements'!H12+'Forecast Income Statements'!H25</f>
        <v>500000</v>
      </c>
      <c r="I38" s="29">
        <f>'Forecast Income Statements'!I12+'Forecast Income Statements'!I25</f>
        <v>500000</v>
      </c>
      <c r="J38" s="29">
        <f>'Forecast Income Statements'!J12+'Forecast Income Statements'!J25</f>
        <v>500000</v>
      </c>
      <c r="K38" s="29">
        <f>'Forecast Income Statements'!K12+'Forecast Income Statements'!K25</f>
        <v>500000</v>
      </c>
      <c r="L38" s="29">
        <f>'Forecast Income Statements'!L12+'Forecast Income Statements'!L25</f>
        <v>250000</v>
      </c>
      <c r="M38" s="29">
        <f>'Forecast Income Statements'!M12+'Forecast Income Statements'!M25</f>
        <v>250000</v>
      </c>
      <c r="N38" s="29">
        <f>'Forecast Income Statements'!N12+'Forecast Income Statements'!N25</f>
        <v>250000</v>
      </c>
      <c r="O38" s="29">
        <f>'Forecast Income Statements'!O12+'Forecast Income Statements'!O25</f>
        <v>250000</v>
      </c>
      <c r="P38" s="29">
        <f>'Forecast Income Statements'!P12+'Forecast Income Statements'!P25</f>
        <v>0</v>
      </c>
      <c r="Q38" s="29">
        <f>'Forecast Income Statements'!Q12+'Forecast Income Statements'!Q25</f>
        <v>0</v>
      </c>
      <c r="R38" s="30">
        <f>'Forecast Income Statements'!R12+'Forecast Income Statements'!R25</f>
        <v>0</v>
      </c>
    </row>
    <row r="39" spans="2:18" ht="13.5" thickBot="1" x14ac:dyDescent="0.25">
      <c r="B39" s="37" t="s">
        <v>80</v>
      </c>
      <c r="C39" s="48"/>
      <c r="D39" s="49" t="str">
        <f t="shared" ref="D39:R39" si="12">IF(D38=0,"",IF(D38&gt;D36,"Not Covered", TEXT(D36/D38,"#.##")))</f>
        <v>2.32</v>
      </c>
      <c r="E39" s="49" t="str">
        <f t="shared" si="12"/>
        <v>2.42</v>
      </c>
      <c r="F39" s="49" t="str">
        <f t="shared" si="12"/>
        <v>1.55</v>
      </c>
      <c r="G39" s="49" t="str">
        <f t="shared" si="12"/>
        <v>1.17</v>
      </c>
      <c r="H39" s="49" t="str">
        <f t="shared" si="12"/>
        <v>2.31</v>
      </c>
      <c r="I39" s="49" t="str">
        <f t="shared" si="12"/>
        <v>2.39</v>
      </c>
      <c r="J39" s="49" t="str">
        <f t="shared" si="12"/>
        <v>2.47</v>
      </c>
      <c r="K39" s="49" t="str">
        <f t="shared" si="12"/>
        <v>2.54</v>
      </c>
      <c r="L39" s="49" t="str">
        <f t="shared" si="12"/>
        <v>5.24</v>
      </c>
      <c r="M39" s="49" t="str">
        <f t="shared" si="12"/>
        <v>5.3</v>
      </c>
      <c r="N39" s="49" t="str">
        <f t="shared" si="12"/>
        <v>5.36</v>
      </c>
      <c r="O39" s="49" t="str">
        <f t="shared" si="12"/>
        <v>5.42</v>
      </c>
      <c r="P39" s="49" t="str">
        <f t="shared" si="12"/>
        <v/>
      </c>
      <c r="Q39" s="49" t="str">
        <f t="shared" si="12"/>
        <v/>
      </c>
      <c r="R39" s="50" t="str">
        <f t="shared" si="12"/>
        <v/>
      </c>
    </row>
    <row r="40" spans="2:18" s="2" customFormat="1" x14ac:dyDescent="0.2"/>
  </sheetData>
  <sheetProtection algorithmName="SHA-512" hashValue="z3z0MqWgYa+184sulBBoS2xrwhYbCutCUsjLhrrAkG+Qpzvo5HHHO3IS+g9pKJOWiv50TIiUfuILWEaRU91rhw==" saltValue="KFq20+PvyOzGLGzMhz4TWQ==" spinCount="100000" sheet="1" objects="1" scenarios="1"/>
  <mergeCells count="3">
    <mergeCell ref="D2:F2"/>
    <mergeCell ref="H2:P2"/>
    <mergeCell ref="Q2:R2"/>
  </mergeCells>
  <phoneticPr fontId="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f4ff802-0413-40b9-a599-cab40e01aba9">
      <Terms xmlns="http://schemas.microsoft.com/office/infopath/2007/PartnerControls"/>
    </lcf76f155ced4ddcb4097134ff3c332f>
    <TaxCatchAll xmlns="7282d4bb-2054-4887-8c3b-ab391db5e80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B0C3581EDDB64A9F623E2EB2D7406E" ma:contentTypeVersion="12" ma:contentTypeDescription="Create a new document." ma:contentTypeScope="" ma:versionID="7b0f72bfc4e1e5a48e42f39445583db1">
  <xsd:schema xmlns:xsd="http://www.w3.org/2001/XMLSchema" xmlns:xs="http://www.w3.org/2001/XMLSchema" xmlns:p="http://schemas.microsoft.com/office/2006/metadata/properties" xmlns:ns2="7f4ff802-0413-40b9-a599-cab40e01aba9" xmlns:ns3="7282d4bb-2054-4887-8c3b-ab391db5e80b" targetNamespace="http://schemas.microsoft.com/office/2006/metadata/properties" ma:root="true" ma:fieldsID="0a4c9aef57b37879dd78e34d09e290c7" ns2:_="" ns3:_="">
    <xsd:import namespace="7f4ff802-0413-40b9-a599-cab40e01aba9"/>
    <xsd:import namespace="7282d4bb-2054-4887-8c3b-ab391db5e8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ff802-0413-40b9-a599-cab40e01a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cc2f849-a509-43e8-937d-cbbbe773f24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82d4bb-2054-4887-8c3b-ab391db5e80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e056da4-e9ea-4549-ae49-547f8ee07f25}" ma:internalName="TaxCatchAll" ma:showField="CatchAllData" ma:web="7282d4bb-2054-4887-8c3b-ab391db5e8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9C4257-7E8D-4EA8-A31F-73093AB03B0E}">
  <ds:schemaRefs>
    <ds:schemaRef ds:uri="http://schemas.microsoft.com/office/infopath/2007/PartnerControls"/>
    <ds:schemaRef ds:uri="7282d4bb-2054-4887-8c3b-ab391db5e80b"/>
    <ds:schemaRef ds:uri="http://purl.org/dc/terms/"/>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7f4ff802-0413-40b9-a599-cab40e01aba9"/>
    <ds:schemaRef ds:uri="http://purl.org/dc/dcmitype/"/>
  </ds:schemaRefs>
</ds:datastoreItem>
</file>

<file path=customXml/itemProps2.xml><?xml version="1.0" encoding="utf-8"?>
<ds:datastoreItem xmlns:ds="http://schemas.openxmlformats.org/officeDocument/2006/customXml" ds:itemID="{929D1A19-5A58-4E95-A771-8CB08141AB1E}">
  <ds:schemaRefs>
    <ds:schemaRef ds:uri="http://schemas.microsoft.com/sharepoint/v3/contenttype/forms"/>
  </ds:schemaRefs>
</ds:datastoreItem>
</file>

<file path=customXml/itemProps3.xml><?xml version="1.0" encoding="utf-8"?>
<ds:datastoreItem xmlns:ds="http://schemas.openxmlformats.org/officeDocument/2006/customXml" ds:itemID="{CC86DFD6-FDE0-4186-9227-F0E008BF9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4ff802-0413-40b9-a599-cab40e01aba9"/>
    <ds:schemaRef ds:uri="7282d4bb-2054-4887-8c3b-ab391db5e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Purpose and Disclaimer</vt:lpstr>
      <vt:lpstr>Key inputs and assumptions</vt:lpstr>
      <vt:lpstr>Forecast Income Statements</vt:lpstr>
    </vt:vector>
  </TitlesOfParts>
  <Manager/>
  <Company>Ministry of Business, Innovation and Employment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Model template - Illustrative example - Apples</dc:title>
  <dc:subject/>
  <dc:creator>Ministry of Business, Innovation and Employment</dc:creator>
  <cp:keywords/>
  <dc:description/>
  <cp:lastModifiedBy>Kerris O'Donoghue</cp:lastModifiedBy>
  <cp:revision/>
  <dcterms:created xsi:type="dcterms:W3CDTF">2023-07-05T04:49:57Z</dcterms:created>
  <dcterms:modified xsi:type="dcterms:W3CDTF">2023-07-28T02:50:18Z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2023-07-05T21:01:41Z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185af168-03f6-4ceb-8ffe-92b303fab442</vt:lpwstr>
  </property>
  <property fmtid="{D5CDD505-2E9C-101B-9397-08002B2CF9AE}" pid="8" name="MSIP_Label_738466f7-346c-47bb-a4d2-4a6558d61975_ContentBits">
    <vt:lpwstr>0</vt:lpwstr>
  </property>
  <property fmtid="{D5CDD505-2E9C-101B-9397-08002B2CF9AE}" pid="9" name="ContentTypeId">
    <vt:lpwstr>0x010100EBB0C3581EDDB64A9F623E2EB2D7406E</vt:lpwstr>
  </property>
  <property fmtid="{D5CDD505-2E9C-101B-9397-08002B2CF9AE}" pid="10" name="MediaServiceImageTags">
    <vt:lpwstr/>
  </property>
</Properties>
</file>