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bienewzealand-my.sharepoint.com/personal/kerris_odonoghue_mbie_govt_nz/Documents/Desktop/"/>
    </mc:Choice>
  </mc:AlternateContent>
  <xr:revisionPtr revIDLastSave="0" documentId="8_{60E26413-E551-439A-B914-B4E4D488D148}" xr6:coauthVersionLast="47" xr6:coauthVersionMax="47" xr10:uidLastSave="{00000000-0000-0000-0000-000000000000}"/>
  <workbookProtection workbookAlgorithmName="SHA-512" workbookHashValue="78fZr4qTDg4i4PAWOZo7R+35wgqcAhd+70H71QqrQsmJ1rCPJmFf5wA/eHelt+sHfguE9K6qsczRm1UU3A2IOQ==" workbookSaltValue="2TqOrYtSBvhynsQ94UScDg==" workbookSpinCount="100000" lockStructure="1"/>
  <bookViews>
    <workbookView xWindow="-120" yWindow="-120" windowWidth="29040" windowHeight="15840" xr2:uid="{655C9C6F-2917-4A65-A0B4-F60BD328FE94}"/>
  </bookViews>
  <sheets>
    <sheet name="Purpose and Disclaimer" sheetId="5" r:id="rId1"/>
    <sheet name="Key inputs and assumptions" sheetId="1" r:id="rId2"/>
    <sheet name="Forecast Income Statemen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 r="F17" i="3" l="1"/>
  <c r="E20" i="3"/>
  <c r="G18" i="3"/>
  <c r="F18" i="3"/>
  <c r="E18" i="3"/>
  <c r="D18" i="3"/>
  <c r="I18" i="3"/>
  <c r="J18" i="3" s="1"/>
  <c r="K18" i="3" s="1"/>
  <c r="L18" i="3" s="1"/>
  <c r="M18" i="3" s="1"/>
  <c r="N18" i="3" s="1"/>
  <c r="O18" i="3" s="1"/>
  <c r="P18" i="3" s="1"/>
  <c r="Q18" i="3" s="1"/>
  <c r="R18" i="3" s="1"/>
  <c r="H18" i="3"/>
  <c r="D17" i="3"/>
  <c r="E17" i="3"/>
  <c r="R17" i="3"/>
  <c r="Q17" i="3"/>
  <c r="P17" i="3"/>
  <c r="O17" i="3"/>
  <c r="N17" i="3"/>
  <c r="M17" i="3"/>
  <c r="L17" i="3"/>
  <c r="K17" i="3"/>
  <c r="J17" i="3"/>
  <c r="I17" i="3"/>
  <c r="H17" i="3"/>
  <c r="G17" i="3"/>
  <c r="C13" i="3"/>
  <c r="F19" i="3" l="1"/>
  <c r="E19" i="3"/>
  <c r="D19" i="3"/>
  <c r="D26" i="3"/>
  <c r="R13" i="3"/>
  <c r="Q13" i="3"/>
  <c r="P13" i="3"/>
  <c r="O13" i="3"/>
  <c r="N13" i="3"/>
  <c r="M13" i="3"/>
  <c r="C14" i="1"/>
  <c r="D29" i="3"/>
  <c r="E29" i="3"/>
  <c r="F29" i="3"/>
  <c r="G29" i="3"/>
  <c r="H29" i="3"/>
  <c r="I29" i="3"/>
  <c r="J29" i="3"/>
  <c r="K29" i="3"/>
  <c r="L29" i="3"/>
  <c r="M29" i="3"/>
  <c r="N29" i="3"/>
  <c r="O29" i="3"/>
  <c r="P29" i="3"/>
  <c r="Q29" i="3"/>
  <c r="R29" i="3"/>
  <c r="E9" i="1"/>
  <c r="H9" i="1"/>
  <c r="D8" i="3"/>
  <c r="D12" i="3" s="1"/>
  <c r="E12" i="3" s="1"/>
  <c r="G12" i="3" s="1"/>
  <c r="H12" i="3" s="1"/>
  <c r="I12" i="3" s="1"/>
  <c r="C20" i="1"/>
  <c r="D5" i="3" l="1"/>
  <c r="D31" i="3" s="1"/>
  <c r="C22" i="1"/>
  <c r="D21" i="3"/>
  <c r="D22" i="3" s="1"/>
  <c r="I19" i="3"/>
  <c r="H19" i="3"/>
  <c r="D9" i="3"/>
  <c r="C29" i="1"/>
  <c r="G9" i="1"/>
  <c r="G19" i="3" s="1"/>
  <c r="D23" i="3" l="1"/>
  <c r="D38" i="3"/>
  <c r="E8" i="3"/>
  <c r="D34" i="3"/>
  <c r="E21" i="3"/>
  <c r="J19" i="3"/>
  <c r="D6" i="3"/>
  <c r="E6" i="3" s="1"/>
  <c r="F6" i="3" s="1"/>
  <c r="G6" i="3" s="1"/>
  <c r="H6" i="3" s="1"/>
  <c r="I6" i="3" s="1"/>
  <c r="J6" i="3" s="1"/>
  <c r="K6" i="3" s="1"/>
  <c r="L6" i="3" s="1"/>
  <c r="M6" i="3" s="1"/>
  <c r="N6" i="3" s="1"/>
  <c r="O6" i="3" s="1"/>
  <c r="P6" i="3" s="1"/>
  <c r="Q6" i="3" s="1"/>
  <c r="R6" i="3" s="1"/>
  <c r="E22" i="3" l="1"/>
  <c r="E23" i="3" s="1"/>
  <c r="E25" i="3"/>
  <c r="E38" i="3" s="1"/>
  <c r="D35" i="3"/>
  <c r="F8" i="3"/>
  <c r="G8" i="3" s="1"/>
  <c r="H8" i="3" s="1"/>
  <c r="I8" i="3" s="1"/>
  <c r="J8" i="3" s="1"/>
  <c r="K8" i="3" s="1"/>
  <c r="L8" i="3" s="1"/>
  <c r="M8" i="3" s="1"/>
  <c r="N8" i="3" s="1"/>
  <c r="O8" i="3" s="1"/>
  <c r="P8" i="3" s="1"/>
  <c r="Q8" i="3" s="1"/>
  <c r="R8" i="3" s="1"/>
  <c r="E9" i="3"/>
  <c r="E34" i="3"/>
  <c r="D32" i="3"/>
  <c r="K19" i="3"/>
  <c r="E32" i="3"/>
  <c r="E5" i="3"/>
  <c r="E31" i="3" s="1"/>
  <c r="D7" i="3"/>
  <c r="D33" i="3" s="1"/>
  <c r="F21" i="3" l="1"/>
  <c r="F22" i="3" s="1"/>
  <c r="F23" i="3" s="1"/>
  <c r="F25" i="3"/>
  <c r="E26" i="3"/>
  <c r="F9" i="3"/>
  <c r="E35" i="3"/>
  <c r="L19" i="3"/>
  <c r="D10" i="3"/>
  <c r="D13" i="3" s="1"/>
  <c r="F32" i="3"/>
  <c r="E7" i="3"/>
  <c r="E33" i="3" s="1"/>
  <c r="F5" i="3"/>
  <c r="F31" i="3" s="1"/>
  <c r="F34" i="3" l="1"/>
  <c r="G21" i="3"/>
  <c r="F35" i="3"/>
  <c r="G25" i="3"/>
  <c r="H21" i="3" s="1"/>
  <c r="F26" i="3"/>
  <c r="F38" i="3"/>
  <c r="G22" i="3"/>
  <c r="G23" i="3" s="1"/>
  <c r="G9" i="3"/>
  <c r="H9" i="3" s="1"/>
  <c r="G34" i="3"/>
  <c r="D36" i="3"/>
  <c r="D39" i="3" s="1"/>
  <c r="M19" i="3"/>
  <c r="E10" i="3"/>
  <c r="G5" i="3"/>
  <c r="G31" i="3" s="1"/>
  <c r="F7" i="3"/>
  <c r="F33" i="3" s="1"/>
  <c r="G32" i="3"/>
  <c r="G26" i="3" l="1"/>
  <c r="H25" i="3"/>
  <c r="I25" i="3" s="1"/>
  <c r="J25" i="3" s="1"/>
  <c r="K25" i="3" s="1"/>
  <c r="L25" i="3" s="1"/>
  <c r="G38" i="3"/>
  <c r="H34" i="3"/>
  <c r="H22" i="3"/>
  <c r="G35" i="3"/>
  <c r="E36" i="3"/>
  <c r="E39" i="3" s="1"/>
  <c r="E13" i="3"/>
  <c r="N19" i="3"/>
  <c r="H32" i="3"/>
  <c r="F10" i="3"/>
  <c r="H5" i="3"/>
  <c r="H31" i="3" s="1"/>
  <c r="G7" i="3"/>
  <c r="G33" i="3" s="1"/>
  <c r="I9" i="3"/>
  <c r="H38" i="3" l="1"/>
  <c r="I35" i="3"/>
  <c r="I21" i="3"/>
  <c r="I22" i="3" s="1"/>
  <c r="H23" i="3"/>
  <c r="H26" i="3" s="1"/>
  <c r="H35" i="3"/>
  <c r="F36" i="3"/>
  <c r="F39" i="3" s="1"/>
  <c r="F13" i="3"/>
  <c r="O19" i="3"/>
  <c r="G10" i="3"/>
  <c r="I32" i="3"/>
  <c r="I5" i="3"/>
  <c r="I31" i="3" s="1"/>
  <c r="H7" i="3"/>
  <c r="H33" i="3" s="1"/>
  <c r="J9" i="3"/>
  <c r="I23" i="3" l="1"/>
  <c r="I26" i="3" s="1"/>
  <c r="I34" i="3"/>
  <c r="G36" i="3"/>
  <c r="G39" i="3" s="1"/>
  <c r="G13" i="3"/>
  <c r="P19" i="3"/>
  <c r="H10" i="3"/>
  <c r="J5" i="3"/>
  <c r="J31" i="3" s="1"/>
  <c r="I7" i="3"/>
  <c r="I33" i="3" s="1"/>
  <c r="J32" i="3"/>
  <c r="K9" i="3"/>
  <c r="J35" i="3" l="1"/>
  <c r="H36" i="3"/>
  <c r="H39" i="3" s="1"/>
  <c r="H13" i="3"/>
  <c r="Q19" i="3"/>
  <c r="R19" i="3"/>
  <c r="K32" i="3"/>
  <c r="I10" i="3"/>
  <c r="K5" i="3"/>
  <c r="K31" i="3" s="1"/>
  <c r="J7" i="3"/>
  <c r="J33" i="3" s="1"/>
  <c r="L9" i="3"/>
  <c r="I36" i="3" l="1"/>
  <c r="I13" i="3"/>
  <c r="J10" i="3"/>
  <c r="L5" i="3"/>
  <c r="L31" i="3" s="1"/>
  <c r="K7" i="3"/>
  <c r="K33" i="3" s="1"/>
  <c r="L32" i="3"/>
  <c r="M9" i="3"/>
  <c r="J13" i="3" l="1"/>
  <c r="M32" i="3"/>
  <c r="K10" i="3"/>
  <c r="M5" i="3"/>
  <c r="M31" i="3" s="1"/>
  <c r="L7" i="3"/>
  <c r="L33" i="3" s="1"/>
  <c r="N9" i="3"/>
  <c r="K13" i="3" l="1"/>
  <c r="N5" i="3"/>
  <c r="N31" i="3" s="1"/>
  <c r="M7" i="3"/>
  <c r="M33" i="3" s="1"/>
  <c r="N32" i="3"/>
  <c r="L10" i="3"/>
  <c r="O9" i="3"/>
  <c r="L13" i="3" l="1"/>
  <c r="O32" i="3"/>
  <c r="M10" i="3"/>
  <c r="O5" i="3"/>
  <c r="O31" i="3" s="1"/>
  <c r="N7" i="3"/>
  <c r="N33" i="3" s="1"/>
  <c r="P9" i="3"/>
  <c r="N10" i="3" l="1"/>
  <c r="P32" i="3"/>
  <c r="P5" i="3"/>
  <c r="P31" i="3" s="1"/>
  <c r="O7" i="3"/>
  <c r="O33" i="3" s="1"/>
  <c r="Q9" i="3"/>
  <c r="Q38" i="3" l="1"/>
  <c r="Q32" i="3"/>
  <c r="O10" i="3"/>
  <c r="Q5" i="3"/>
  <c r="Q31" i="3" s="1"/>
  <c r="P7" i="3"/>
  <c r="P33" i="3" s="1"/>
  <c r="R9" i="3"/>
  <c r="Q26" i="3" l="1"/>
  <c r="R38" i="3"/>
  <c r="P10" i="3"/>
  <c r="R5" i="3"/>
  <c r="R31" i="3" s="1"/>
  <c r="Q7" i="3"/>
  <c r="Q33" i="3" s="1"/>
  <c r="R32" i="3"/>
  <c r="Q10" i="3" l="1"/>
  <c r="R7" i="3"/>
  <c r="R33" i="3" s="1"/>
  <c r="R10" i="3" l="1"/>
  <c r="R39" i="3" l="1"/>
  <c r="R26" i="3"/>
  <c r="Q39" i="3"/>
  <c r="P26" i="3"/>
  <c r="P38" i="3"/>
  <c r="P39" i="3" s="1"/>
  <c r="J38" i="3"/>
  <c r="I38" i="3"/>
  <c r="I39" i="3" s="1"/>
  <c r="J21" i="3"/>
  <c r="J22" i="3" s="1"/>
  <c r="J23" i="3" l="1"/>
  <c r="J26" i="3" s="1"/>
  <c r="N38" i="3"/>
  <c r="O38" i="3"/>
  <c r="K21" i="3"/>
  <c r="K22" i="3" s="1"/>
  <c r="J34" i="3"/>
  <c r="J36" i="3" l="1"/>
  <c r="J39" i="3" s="1"/>
  <c r="K38" i="3"/>
  <c r="K34" i="3"/>
  <c r="L21" i="3"/>
  <c r="L22" i="3" s="1"/>
  <c r="L38" i="3"/>
  <c r="M38" i="3"/>
  <c r="K35" i="3" l="1"/>
  <c r="K23" i="3"/>
  <c r="L34" i="3"/>
  <c r="M21" i="3"/>
  <c r="M22" i="3" s="1"/>
  <c r="N21" i="3" l="1"/>
  <c r="N22" i="3" s="1"/>
  <c r="M34" i="3"/>
  <c r="L35" i="3"/>
  <c r="L23" i="3"/>
  <c r="K36" i="3"/>
  <c r="K39" i="3" s="1"/>
  <c r="K26" i="3"/>
  <c r="M35" i="3" l="1"/>
  <c r="M23" i="3"/>
  <c r="L36" i="3"/>
  <c r="L39" i="3" s="1"/>
  <c r="L26" i="3"/>
  <c r="O21" i="3"/>
  <c r="O22" i="3" s="1"/>
  <c r="N34" i="3"/>
  <c r="P21" i="3" l="1"/>
  <c r="P22" i="3" s="1"/>
  <c r="O34" i="3"/>
  <c r="N23" i="3"/>
  <c r="N35" i="3"/>
  <c r="M36" i="3"/>
  <c r="M39" i="3" s="1"/>
  <c r="M26" i="3"/>
  <c r="O23" i="3" l="1"/>
  <c r="O35" i="3"/>
  <c r="Q21" i="3"/>
  <c r="Q22" i="3" s="1"/>
  <c r="P34" i="3"/>
  <c r="N36" i="3"/>
  <c r="N39" i="3" s="1"/>
  <c r="N26" i="3"/>
  <c r="O36" i="3" l="1"/>
  <c r="O39" i="3" s="1"/>
  <c r="O26" i="3"/>
  <c r="P35" i="3"/>
  <c r="P23" i="3"/>
  <c r="P36" i="3" s="1"/>
  <c r="Q34" i="3"/>
  <c r="R21" i="3"/>
  <c r="R22" i="3" s="1"/>
  <c r="R34" i="3" l="1"/>
  <c r="Q23" i="3"/>
  <c r="Q36" i="3" s="1"/>
  <c r="Q35" i="3"/>
  <c r="R35" i="3" l="1"/>
  <c r="R23" i="3"/>
  <c r="R36" i="3" s="1"/>
</calcChain>
</file>

<file path=xl/sharedStrings.xml><?xml version="1.0" encoding="utf-8"?>
<sst xmlns="http://schemas.openxmlformats.org/spreadsheetml/2006/main" count="117" uniqueCount="80">
  <si>
    <t>Land use</t>
  </si>
  <si>
    <t>Farm Land</t>
  </si>
  <si>
    <t>Sales</t>
  </si>
  <si>
    <t>Total cost of prodution</t>
  </si>
  <si>
    <t>Total debt</t>
  </si>
  <si>
    <t>$</t>
  </si>
  <si>
    <t>Forecast Income Statement (without support)</t>
  </si>
  <si>
    <t>T+1</t>
  </si>
  <si>
    <t>T+2</t>
  </si>
  <si>
    <t>T+3</t>
  </si>
  <si>
    <t>T+4</t>
  </si>
  <si>
    <t>T+5</t>
  </si>
  <si>
    <t>T+6</t>
  </si>
  <si>
    <t>T+7</t>
  </si>
  <si>
    <t>T+8</t>
  </si>
  <si>
    <t>T+9</t>
  </si>
  <si>
    <t>T+10</t>
  </si>
  <si>
    <t>T+11</t>
  </si>
  <si>
    <t>T+12</t>
  </si>
  <si>
    <t>T+13</t>
  </si>
  <si>
    <t>T+14</t>
  </si>
  <si>
    <t>T+15</t>
  </si>
  <si>
    <t>Bank/Funder Interest Rate</t>
  </si>
  <si>
    <t>Total debt (Start of the Year)</t>
  </si>
  <si>
    <t>Interest cost for the year</t>
  </si>
  <si>
    <t>Profit</t>
  </si>
  <si>
    <t>Term of Current Loan (Yrs)</t>
  </si>
  <si>
    <t>Net Profit available for servicing debt</t>
  </si>
  <si>
    <t xml:space="preserve">Entity legal name: </t>
  </si>
  <si>
    <t>Click here to enter text</t>
  </si>
  <si>
    <t>Click here to enter link (if applicable)</t>
  </si>
  <si>
    <t>Registered New Zealand Business Number (NZBN)</t>
  </si>
  <si>
    <t>Registered Company Number</t>
  </si>
  <si>
    <t>Do not change any other cells</t>
  </si>
  <si>
    <t>Fill in only the coloured cells</t>
  </si>
  <si>
    <t>Productive hectares pre NIWE</t>
  </si>
  <si>
    <t>% of original productive hectares</t>
  </si>
  <si>
    <t xml:space="preserve">Productive hectares remaining </t>
  </si>
  <si>
    <t>NIWE Loan funding sought</t>
  </si>
  <si>
    <t>Commodity type</t>
  </si>
  <si>
    <t>Productive hectares remaining post NIWE impact (%)</t>
  </si>
  <si>
    <t>Total hectares post NIWE PPFS support</t>
  </si>
  <si>
    <t>Reinstatement proposed with NIWE support (hectares)</t>
  </si>
  <si>
    <t>Key assumptions</t>
  </si>
  <si>
    <t>Average income per productive hectare</t>
  </si>
  <si>
    <t>Average total cost of production per hectare (incl overhead, irrigation, non-growing)</t>
  </si>
  <si>
    <t>Comments</t>
  </si>
  <si>
    <t>Average profit before interest per hectare</t>
  </si>
  <si>
    <t>Current Lender/Funder Interest Rate</t>
  </si>
  <si>
    <t>Current debt / funding</t>
  </si>
  <si>
    <t>Productive LTV estimate</t>
  </si>
  <si>
    <t>in NZD</t>
  </si>
  <si>
    <t>$ Value of property sold in Y1?</t>
  </si>
  <si>
    <t xml:space="preserve">For remaining productive hectares </t>
  </si>
  <si>
    <t>For new Reinstated Production (if support is received)</t>
  </si>
  <si>
    <t>Forecast Income Statement (with support)</t>
  </si>
  <si>
    <t>Consolidated Production Capacity</t>
  </si>
  <si>
    <t>Additional sales from redeveloped section</t>
  </si>
  <si>
    <t>Total cost of prodution for redeveloped section</t>
  </si>
  <si>
    <t>Assumed Interest rate for Period 1</t>
  </si>
  <si>
    <t>Assumed Interest rate for Period 2</t>
  </si>
  <si>
    <t>Financial Viability Model Tool for NIWE-PPFS</t>
  </si>
  <si>
    <t>Additional Capex requirements</t>
  </si>
  <si>
    <t>New Reinstated Production Only (if support is received)</t>
  </si>
  <si>
    <t>Productive hectares remaining (Current Position)</t>
  </si>
  <si>
    <t>Coverage Ratio</t>
  </si>
  <si>
    <t>Average income per reinstated hectare</t>
  </si>
  <si>
    <t>Proposed Drawdown of NIWE Loan %</t>
  </si>
  <si>
    <t>If this varies too much for different varieties, you could use an average or you could prepare separate models for each variety</t>
  </si>
  <si>
    <t xml:space="preserve">Will any property be sold to lower debt? If yes, please provide an approximate value </t>
  </si>
  <si>
    <t>Please add any other capital costs you expect to incur on your rebuild project</t>
  </si>
  <si>
    <t>Cost to develop ($ average per hectares)</t>
  </si>
  <si>
    <t>Capital requiements</t>
  </si>
  <si>
    <t>Principal repayments for current debt (at the end of the year)</t>
  </si>
  <si>
    <t>Principal Repayments for NIWE Debt (at the end of the year)</t>
  </si>
  <si>
    <t>Total Principal Repayments (at the end of the year)</t>
  </si>
  <si>
    <t>Please note the numbers prefilled in this sheet are just an example, they may not be the same for your project</t>
  </si>
  <si>
    <t>Illustrative example - Generic</t>
  </si>
  <si>
    <t>This is your average cost per hectare you expect to incur to reinstate the farm</t>
  </si>
  <si>
    <r>
      <rPr>
        <b/>
        <u/>
        <sz val="10"/>
        <color theme="1"/>
        <rFont val="Arial"/>
        <family val="2"/>
      </rPr>
      <t>Purpose</t>
    </r>
    <r>
      <rPr>
        <sz val="10"/>
        <color theme="1"/>
        <rFont val="Arial"/>
        <family val="2"/>
      </rPr>
      <t xml:space="preserve">
This financial viability model tool is provided as an illustrative example for the purpose of assistance in understanding the forecast capital and cashflow requirements of potential applicants seeking funding from the North Island Weather Events Primary Producer Finance Scheme (NIWE PPFS) for their recovery projects. For more information about the NIWE PPFS, please visit the website. https://www.growregions.govt.nz/new-funding/niwe-primary-producer-finance-scheme/
</t>
    </r>
    <r>
      <rPr>
        <b/>
        <u/>
        <sz val="10"/>
        <color theme="1"/>
        <rFont val="Arial"/>
        <family val="2"/>
      </rPr>
      <t>Disclaimer</t>
    </r>
    <r>
      <rPr>
        <u/>
        <sz val="10"/>
        <color theme="1"/>
        <rFont val="Arial"/>
        <family val="2"/>
      </rPr>
      <t xml:space="preserve">
</t>
    </r>
    <r>
      <rPr>
        <sz val="10"/>
        <color theme="1"/>
        <rFont val="Arial"/>
        <family val="2"/>
      </rPr>
      <t>The contents of this tool does not constitute financial advice, investment advice or tax advice. Ministry of Business, Innovation and Employment (MBIE) does not provide any assurances for the accuracy of the information contained in this tool and does not assume liability for any losses (financial or otherwise) resulting from applicants relying on this information.
Any figures and assumptions provided in this tool are based on limited discussions and industry engagement undertaken by MBIE and Ministry for Primary Industries (MPI) in July 2023 for the NIWE PPFS. These assumptions are likely to vary for individual applicants depending on the specifics of their projects and their unique circumstances.
This model is not intended as a substitute for professional services available in the market. Applicants are encouraged to seek help from their trusted advisors and qualified accountants when considering their investments and making business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</si>
</sst>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dd\ mmm\ yyyy"/>
  </numFmts>
  <fonts count="12" x14ac:knownFonts="1">
    <font>
      <sz val="11"/>
      <color theme="1"/>
      <name val="Arial"/>
      <family val="2"/>
    </font>
    <font>
      <sz val="11"/>
      <color theme="1"/>
      <name val="Arial"/>
      <family val="2"/>
    </font>
    <font>
      <sz val="8"/>
      <name val="Arial"/>
      <family val="2"/>
    </font>
    <font>
      <sz val="10"/>
      <color theme="1"/>
      <name val="Arial"/>
      <family val="2"/>
    </font>
    <font>
      <i/>
      <sz val="10"/>
      <color theme="1"/>
      <name val="Arial"/>
      <family val="2"/>
    </font>
    <font>
      <b/>
      <sz val="10"/>
      <color theme="1"/>
      <name val="Arial"/>
      <family val="2"/>
    </font>
    <font>
      <sz val="10"/>
      <name val="Arial"/>
      <family val="2"/>
    </font>
    <font>
      <b/>
      <i/>
      <sz val="10"/>
      <color theme="1"/>
      <name val="Arial"/>
      <family val="2"/>
    </font>
    <font>
      <b/>
      <sz val="10"/>
      <color theme="0"/>
      <name val="Arial"/>
      <family val="2"/>
    </font>
    <font>
      <b/>
      <i/>
      <sz val="9"/>
      <color theme="1"/>
      <name val="Arial"/>
      <family val="2"/>
    </font>
    <font>
      <b/>
      <u/>
      <sz val="10"/>
      <color theme="1"/>
      <name val="Arial"/>
      <family val="2"/>
    </font>
    <font>
      <u/>
      <sz val="10"/>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3" fillId="0" borderId="4" xfId="0" applyFont="1" applyBorder="1" applyAlignment="1">
      <alignment vertical="center" wrapText="1"/>
    </xf>
    <xf numFmtId="0" fontId="3" fillId="3" borderId="0" xfId="0" applyFont="1" applyFill="1" applyAlignment="1">
      <alignment vertical="center"/>
    </xf>
    <xf numFmtId="0" fontId="3" fillId="0" borderId="0" xfId="0" applyFont="1" applyAlignment="1">
      <alignment vertical="center"/>
    </xf>
    <xf numFmtId="0" fontId="5" fillId="3" borderId="0" xfId="0" applyFont="1" applyFill="1" applyAlignment="1">
      <alignment vertical="center"/>
    </xf>
    <xf numFmtId="0" fontId="5" fillId="0" borderId="0" xfId="0" applyFont="1" applyAlignment="1">
      <alignment vertical="center"/>
    </xf>
    <xf numFmtId="0" fontId="3"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Font="1" applyBorder="1" applyAlignment="1">
      <alignment vertical="center"/>
    </xf>
    <xf numFmtId="0" fontId="6" fillId="0" borderId="0" xfId="0" quotePrefix="1" applyFont="1" applyFill="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9" fontId="4" fillId="0" borderId="3" xfId="2" applyFont="1" applyFill="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4" fillId="0" borderId="3" xfId="0" applyFont="1" applyFill="1" applyBorder="1" applyAlignment="1">
      <alignment horizontal="left" vertical="center"/>
    </xf>
    <xf numFmtId="0" fontId="3" fillId="0" borderId="3" xfId="0" applyFont="1" applyBorder="1" applyAlignment="1">
      <alignment horizontal="center" vertical="center"/>
    </xf>
    <xf numFmtId="9" fontId="4" fillId="0" borderId="3" xfId="2" applyFont="1" applyBorder="1" applyAlignment="1">
      <alignment vertical="center"/>
    </xf>
    <xf numFmtId="0" fontId="3" fillId="0" borderId="3" xfId="0" applyFont="1" applyBorder="1" applyAlignment="1">
      <alignment horizontal="left" vertical="center" indent="1"/>
    </xf>
    <xf numFmtId="0" fontId="5" fillId="0" borderId="3" xfId="0" applyFont="1" applyBorder="1" applyAlignment="1">
      <alignment horizontal="center" vertical="center"/>
    </xf>
    <xf numFmtId="0" fontId="3" fillId="3" borderId="0" xfId="0" applyFont="1" applyFill="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166" fontId="3" fillId="0" borderId="0" xfId="3" applyNumberFormat="1" applyFont="1" applyBorder="1" applyAlignment="1">
      <alignment horizontal="center" vertical="center"/>
    </xf>
    <xf numFmtId="0" fontId="3" fillId="0" borderId="15" xfId="0" applyFont="1" applyBorder="1" applyAlignment="1">
      <alignment vertical="center"/>
    </xf>
    <xf numFmtId="0" fontId="3" fillId="0" borderId="14" xfId="0" applyFont="1" applyBorder="1" applyAlignment="1">
      <alignment vertical="center"/>
    </xf>
    <xf numFmtId="166" fontId="3" fillId="0" borderId="0" xfId="3" applyNumberFormat="1" applyFont="1" applyBorder="1" applyAlignment="1">
      <alignment vertical="center"/>
    </xf>
    <xf numFmtId="166" fontId="3" fillId="0" borderId="15" xfId="3" applyNumberFormat="1" applyFont="1" applyBorder="1" applyAlignment="1">
      <alignment vertical="center"/>
    </xf>
    <xf numFmtId="166" fontId="3" fillId="0" borderId="0" xfId="3" applyNumberFormat="1" applyFont="1" applyFill="1" applyBorder="1" applyAlignment="1">
      <alignment vertical="center"/>
    </xf>
    <xf numFmtId="166" fontId="6" fillId="0" borderId="0" xfId="3" applyNumberFormat="1" applyFont="1" applyFill="1" applyBorder="1" applyAlignment="1">
      <alignment vertical="center"/>
    </xf>
    <xf numFmtId="166" fontId="6" fillId="0" borderId="15" xfId="3" applyNumberFormat="1" applyFont="1" applyFill="1" applyBorder="1" applyAlignment="1">
      <alignment vertical="center"/>
    </xf>
    <xf numFmtId="166" fontId="3" fillId="0" borderId="15" xfId="3" applyNumberFormat="1" applyFont="1" applyFill="1" applyBorder="1" applyAlignment="1">
      <alignment vertical="center"/>
    </xf>
    <xf numFmtId="166" fontId="5" fillId="0" borderId="0" xfId="3" applyNumberFormat="1" applyFont="1" applyBorder="1" applyAlignment="1">
      <alignment vertical="center"/>
    </xf>
    <xf numFmtId="166" fontId="5" fillId="0" borderId="15" xfId="3" applyNumberFormat="1" applyFont="1" applyBorder="1" applyAlignment="1">
      <alignment vertical="center"/>
    </xf>
    <xf numFmtId="0" fontId="3" fillId="0" borderId="16" xfId="0" applyFont="1" applyBorder="1" applyAlignment="1">
      <alignment vertical="center"/>
    </xf>
    <xf numFmtId="166" fontId="3" fillId="0" borderId="5" xfId="3" applyNumberFormat="1" applyFont="1" applyBorder="1" applyAlignment="1">
      <alignment horizontal="center" vertical="center"/>
    </xf>
    <xf numFmtId="166" fontId="3" fillId="0" borderId="17" xfId="3" applyNumberFormat="1" applyFont="1" applyBorder="1" applyAlignment="1">
      <alignment horizontal="center" vertical="center"/>
    </xf>
    <xf numFmtId="166" fontId="3" fillId="3" borderId="0" xfId="3" applyNumberFormat="1" applyFont="1" applyFill="1" applyBorder="1" applyAlignment="1">
      <alignment vertical="center"/>
    </xf>
    <xf numFmtId="0" fontId="3" fillId="0" borderId="6" xfId="0" applyFont="1" applyFill="1" applyBorder="1" applyAlignment="1">
      <alignment vertical="center"/>
    </xf>
    <xf numFmtId="166" fontId="3" fillId="0" borderId="6" xfId="3" applyNumberFormat="1" applyFont="1" applyBorder="1" applyAlignment="1">
      <alignment vertical="center"/>
    </xf>
    <xf numFmtId="166" fontId="3" fillId="0" borderId="13" xfId="3" applyNumberFormat="1" applyFont="1" applyBorder="1" applyAlignment="1">
      <alignment vertical="center"/>
    </xf>
    <xf numFmtId="166" fontId="3" fillId="0" borderId="5" xfId="3" applyNumberFormat="1" applyFont="1" applyBorder="1" applyAlignment="1">
      <alignment vertical="center"/>
    </xf>
    <xf numFmtId="166" fontId="3" fillId="0" borderId="17" xfId="3" applyNumberFormat="1" applyFont="1" applyBorder="1" applyAlignment="1">
      <alignment vertical="center"/>
    </xf>
    <xf numFmtId="0" fontId="3" fillId="0" borderId="6" xfId="0" applyFont="1" applyBorder="1" applyAlignment="1">
      <alignment vertical="center"/>
    </xf>
    <xf numFmtId="9" fontId="5" fillId="0" borderId="14" xfId="0" applyNumberFormat="1" applyFont="1" applyBorder="1" applyAlignment="1">
      <alignment vertical="center"/>
    </xf>
    <xf numFmtId="164" fontId="3" fillId="0" borderId="0" xfId="0" applyNumberFormat="1"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3" borderId="5" xfId="0" applyFont="1" applyFill="1" applyBorder="1" applyAlignment="1">
      <alignment horizontal="center"/>
    </xf>
    <xf numFmtId="0" fontId="3" fillId="0" borderId="0" xfId="0" applyFont="1"/>
    <xf numFmtId="0" fontId="8" fillId="4" borderId="8" xfId="0" applyFont="1" applyFill="1" applyBorder="1" applyAlignment="1">
      <alignment horizontal="center"/>
    </xf>
    <xf numFmtId="0" fontId="4" fillId="5" borderId="7" xfId="0" applyFont="1" applyFill="1" applyBorder="1" applyAlignment="1">
      <alignment horizontal="center"/>
    </xf>
    <xf numFmtId="0" fontId="3" fillId="3" borderId="6" xfId="0" applyFont="1" applyFill="1" applyBorder="1" applyAlignment="1">
      <alignment horizontal="center"/>
    </xf>
    <xf numFmtId="10" fontId="3" fillId="0" borderId="5" xfId="0" applyNumberFormat="1" applyFont="1" applyFill="1" applyBorder="1" applyAlignment="1">
      <alignment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3" fillId="2" borderId="26" xfId="0" applyFont="1" applyFill="1" applyBorder="1" applyAlignment="1">
      <alignment horizontal="center" vertical="center"/>
    </xf>
    <xf numFmtId="10" fontId="3" fillId="0" borderId="0" xfId="2" applyNumberFormat="1" applyFont="1" applyFill="1" applyBorder="1" applyAlignment="1">
      <alignment vertical="center"/>
    </xf>
    <xf numFmtId="10" fontId="3" fillId="0" borderId="5" xfId="2" applyNumberFormat="1" applyFont="1" applyFill="1" applyBorder="1" applyAlignment="1">
      <alignment vertical="center"/>
    </xf>
    <xf numFmtId="0" fontId="4" fillId="0" borderId="26" xfId="0" applyFont="1" applyFill="1" applyBorder="1" applyAlignment="1">
      <alignment vertical="center"/>
    </xf>
    <xf numFmtId="164" fontId="4" fillId="0" borderId="3" xfId="1" applyNumberFormat="1" applyFont="1" applyBorder="1" applyAlignment="1">
      <alignment vertical="center"/>
    </xf>
    <xf numFmtId="167" fontId="3" fillId="2" borderId="0" xfId="0" applyNumberFormat="1" applyFont="1" applyFill="1" applyBorder="1" applyAlignment="1" applyProtection="1">
      <alignment vertical="center"/>
      <protection locked="0"/>
    </xf>
    <xf numFmtId="166" fontId="3" fillId="2" borderId="0" xfId="3" applyNumberFormat="1" applyFont="1" applyFill="1" applyBorder="1" applyAlignment="1" applyProtection="1">
      <alignment vertical="center"/>
      <protection locked="0"/>
    </xf>
    <xf numFmtId="166" fontId="3" fillId="2" borderId="15" xfId="3" applyNumberFormat="1" applyFont="1" applyFill="1" applyBorder="1" applyAlignment="1" applyProtection="1">
      <alignment vertical="center"/>
      <protection locked="0"/>
    </xf>
    <xf numFmtId="9" fontId="3" fillId="2" borderId="0" xfId="2" applyFont="1" applyFill="1" applyBorder="1" applyAlignment="1" applyProtection="1">
      <alignment vertical="center"/>
      <protection locked="0"/>
    </xf>
    <xf numFmtId="166" fontId="6" fillId="2" borderId="0" xfId="3" applyNumberFormat="1" applyFont="1" applyFill="1" applyBorder="1" applyAlignment="1" applyProtection="1">
      <alignment vertical="center"/>
      <protection locked="0"/>
    </xf>
    <xf numFmtId="0" fontId="3" fillId="2" borderId="3" xfId="0" applyFont="1" applyFill="1" applyBorder="1" applyAlignment="1" applyProtection="1">
      <alignment horizontal="center" vertical="center"/>
      <protection locked="0"/>
    </xf>
    <xf numFmtId="9" fontId="3" fillId="2" borderId="3" xfId="2" applyFont="1" applyFill="1" applyBorder="1" applyAlignment="1" applyProtection="1">
      <alignment horizontal="center" vertical="center"/>
      <protection locked="0"/>
    </xf>
    <xf numFmtId="164" fontId="3" fillId="2" borderId="3" xfId="1" applyNumberFormat="1" applyFont="1" applyFill="1" applyBorder="1" applyAlignment="1" applyProtection="1">
      <alignment vertical="center"/>
      <protection locked="0"/>
    </xf>
    <xf numFmtId="165" fontId="3" fillId="2" borderId="3" xfId="0" applyNumberFormat="1" applyFont="1" applyFill="1" applyBorder="1" applyAlignment="1" applyProtection="1">
      <alignment vertical="center"/>
      <protection locked="0"/>
    </xf>
    <xf numFmtId="164" fontId="3" fillId="2" borderId="3" xfId="3" applyNumberFormat="1" applyFont="1" applyFill="1" applyBorder="1" applyAlignment="1" applyProtection="1">
      <alignment vertical="center"/>
      <protection locked="0"/>
    </xf>
    <xf numFmtId="0" fontId="3" fillId="3" borderId="0" xfId="0" applyFont="1" applyFill="1" applyAlignment="1">
      <alignment horizont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00DA-C7DD-4C96-B84C-7C5E39455427}">
  <dimension ref="A1:XET5"/>
  <sheetViews>
    <sheetView tabSelected="1" zoomScaleNormal="100" workbookViewId="0">
      <selection activeCell="B5" sqref="B5"/>
    </sheetView>
  </sheetViews>
  <sheetFormatPr defaultColWidth="0" defaultRowHeight="12.75" zeroHeight="1" x14ac:dyDescent="0.2"/>
  <cols>
    <col min="1" max="1" width="2.375" style="51" customWidth="1"/>
    <col min="2" max="2" width="112.25" style="51" customWidth="1"/>
    <col min="3" max="3" width="3.25" style="51" customWidth="1"/>
    <col min="4" max="16374" width="9" style="51" hidden="1"/>
    <col min="16375" max="16384" width="0.125" style="51" hidden="1"/>
  </cols>
  <sheetData>
    <row r="1" spans="1:3" ht="13.5" thickBot="1" x14ac:dyDescent="0.25">
      <c r="A1" s="73"/>
      <c r="B1" s="50"/>
      <c r="C1" s="73"/>
    </row>
    <row r="2" spans="1:3" x14ac:dyDescent="0.2">
      <c r="A2" s="73"/>
      <c r="B2" s="52" t="s">
        <v>61</v>
      </c>
      <c r="C2" s="73"/>
    </row>
    <row r="3" spans="1:3" x14ac:dyDescent="0.2">
      <c r="A3" s="73"/>
      <c r="B3" s="53" t="s">
        <v>77</v>
      </c>
      <c r="C3" s="73"/>
    </row>
    <row r="4" spans="1:3" ht="265.5" customHeight="1" thickBot="1" x14ac:dyDescent="0.25">
      <c r="A4" s="73"/>
      <c r="B4" s="1" t="s">
        <v>79</v>
      </c>
      <c r="C4" s="73"/>
    </row>
    <row r="5" spans="1:3" x14ac:dyDescent="0.2">
      <c r="A5" s="73"/>
      <c r="B5" s="54"/>
      <c r="C5" s="73"/>
    </row>
  </sheetData>
  <sheetProtection algorithmName="SHA-512" hashValue="WM/9uM3uNv1TQQI0ZSSyQd8xejCv8BnescKG5WdPkq8e+8hh5XuNcpVFf33iNQJZj9Zac9TPFb1wzmf3swPdWA==" saltValue="Z26WVgzEWpMR+EMwpkNeMQ==" spinCount="100000" sheet="1" objects="1" scenarios="1"/>
  <mergeCells count="2">
    <mergeCell ref="A1:A5"/>
    <mergeCell ref="C1: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010C-9268-42A4-81AE-1809EFAE7D60}">
  <dimension ref="A1:N115"/>
  <sheetViews>
    <sheetView showGridLines="0" zoomScaleNormal="100" workbookViewId="0">
      <selection activeCell="C13" sqref="C13"/>
    </sheetView>
  </sheetViews>
  <sheetFormatPr defaultColWidth="0" defaultRowHeight="15" customHeight="1" zeroHeight="1" x14ac:dyDescent="0.2"/>
  <cols>
    <col min="1" max="1" width="3.125" style="2" customWidth="1"/>
    <col min="2" max="2" width="63" style="3" bestFit="1" customWidth="1"/>
    <col min="3" max="3" width="27.625" style="3" bestFit="1" customWidth="1"/>
    <col min="4" max="4" width="25" style="3" customWidth="1"/>
    <col min="5" max="5" width="16.125" style="3" customWidth="1"/>
    <col min="6" max="6" width="24.375" style="3" customWidth="1"/>
    <col min="7" max="7" width="16.625" style="3" bestFit="1" customWidth="1"/>
    <col min="8" max="8" width="16.5" style="3" bestFit="1" customWidth="1"/>
    <col min="9" max="9" width="3.875" style="2" customWidth="1"/>
    <col min="10" max="14" width="0" style="3" hidden="1" customWidth="1"/>
    <col min="15" max="16384" width="9" style="3" hidden="1"/>
  </cols>
  <sheetData>
    <row r="1" spans="1:14" s="2" customFormat="1" ht="15" customHeight="1" thickBot="1" x14ac:dyDescent="0.25"/>
    <row r="2" spans="1:14" ht="15" customHeight="1" x14ac:dyDescent="0.2">
      <c r="B2" s="6" t="s">
        <v>34</v>
      </c>
      <c r="C2" s="7" t="s">
        <v>33</v>
      </c>
      <c r="E2" s="86" t="s">
        <v>76</v>
      </c>
      <c r="F2" s="87"/>
      <c r="G2" s="88"/>
    </row>
    <row r="3" spans="1:14" ht="15" customHeight="1" thickBot="1" x14ac:dyDescent="0.25">
      <c r="B3" s="16" t="s">
        <v>28</v>
      </c>
      <c r="C3" s="68" t="s">
        <v>29</v>
      </c>
      <c r="E3" s="89"/>
      <c r="F3" s="90"/>
      <c r="G3" s="91"/>
    </row>
    <row r="4" spans="1:14" ht="15" customHeight="1" x14ac:dyDescent="0.2">
      <c r="B4" s="16" t="s">
        <v>31</v>
      </c>
      <c r="C4" s="68" t="s">
        <v>30</v>
      </c>
    </row>
    <row r="5" spans="1:14" ht="15" customHeight="1" x14ac:dyDescent="0.2">
      <c r="B5" s="16" t="s">
        <v>32</v>
      </c>
      <c r="C5" s="68" t="s">
        <v>30</v>
      </c>
    </row>
    <row r="6" spans="1:14" ht="15" customHeight="1" x14ac:dyDescent="0.2">
      <c r="B6" s="16" t="s">
        <v>39</v>
      </c>
      <c r="C6" s="68" t="s">
        <v>29</v>
      </c>
    </row>
    <row r="7" spans="1:14" ht="15" customHeight="1" x14ac:dyDescent="0.2"/>
    <row r="8" spans="1:14" s="5" customFormat="1" ht="38.25" x14ac:dyDescent="0.2">
      <c r="A8" s="4"/>
      <c r="B8" s="14" t="s">
        <v>0</v>
      </c>
      <c r="C8" s="14" t="s">
        <v>35</v>
      </c>
      <c r="D8" s="15" t="s">
        <v>40</v>
      </c>
      <c r="E8" s="15" t="s">
        <v>37</v>
      </c>
      <c r="F8" s="15" t="s">
        <v>42</v>
      </c>
      <c r="G8" s="15" t="s">
        <v>36</v>
      </c>
      <c r="H8" s="15" t="s">
        <v>41</v>
      </c>
      <c r="I8" s="4"/>
      <c r="M8" s="3"/>
      <c r="N8" s="3"/>
    </row>
    <row r="9" spans="1:14" ht="15" customHeight="1" x14ac:dyDescent="0.2">
      <c r="B9" s="8" t="s">
        <v>1</v>
      </c>
      <c r="C9" s="68">
        <v>100</v>
      </c>
      <c r="D9" s="69">
        <v>0.5</v>
      </c>
      <c r="E9" s="7">
        <f>C9*D9</f>
        <v>50</v>
      </c>
      <c r="F9" s="68">
        <v>20</v>
      </c>
      <c r="G9" s="13">
        <f>F9/C9</f>
        <v>0.2</v>
      </c>
      <c r="H9" s="7">
        <f>(C9*D9)+F9</f>
        <v>70</v>
      </c>
    </row>
    <row r="10" spans="1:14" ht="15" customHeight="1" x14ac:dyDescent="0.2"/>
    <row r="11" spans="1:14" ht="15" customHeight="1" x14ac:dyDescent="0.2">
      <c r="B11" s="14" t="s">
        <v>72</v>
      </c>
      <c r="C11" s="20" t="s">
        <v>51</v>
      </c>
      <c r="D11" s="77" t="s">
        <v>46</v>
      </c>
      <c r="E11" s="78"/>
      <c r="F11" s="78"/>
      <c r="G11" s="79"/>
    </row>
    <row r="12" spans="1:14" ht="15" customHeight="1" x14ac:dyDescent="0.2">
      <c r="B12" s="8" t="s">
        <v>71</v>
      </c>
      <c r="C12" s="70">
        <v>31000</v>
      </c>
      <c r="D12" s="74" t="s">
        <v>78</v>
      </c>
      <c r="E12" s="75"/>
      <c r="F12" s="75"/>
      <c r="G12" s="76"/>
    </row>
    <row r="13" spans="1:14" ht="15" customHeight="1" x14ac:dyDescent="0.2">
      <c r="B13" s="8" t="s">
        <v>62</v>
      </c>
      <c r="C13" s="70">
        <v>30000</v>
      </c>
      <c r="D13" s="74" t="s">
        <v>70</v>
      </c>
      <c r="E13" s="75"/>
      <c r="F13" s="75"/>
      <c r="G13" s="76"/>
    </row>
    <row r="14" spans="1:14" ht="15" customHeight="1" x14ac:dyDescent="0.2">
      <c r="B14" s="8" t="s">
        <v>38</v>
      </c>
      <c r="C14" s="62">
        <f>C12*F9+C13</f>
        <v>650000</v>
      </c>
    </row>
    <row r="15" spans="1:14" ht="15" customHeight="1" x14ac:dyDescent="0.2">
      <c r="B15" s="9"/>
      <c r="C15" s="9"/>
      <c r="D15" s="9"/>
      <c r="E15" s="9"/>
      <c r="F15" s="9"/>
      <c r="G15" s="9"/>
      <c r="H15" s="9"/>
    </row>
    <row r="16" spans="1:14" ht="15" customHeight="1" x14ac:dyDescent="0.2">
      <c r="B16" s="14" t="s">
        <v>43</v>
      </c>
      <c r="C16" s="20" t="s">
        <v>51</v>
      </c>
      <c r="D16" s="77" t="s">
        <v>46</v>
      </c>
      <c r="E16" s="78"/>
      <c r="F16" s="78"/>
      <c r="G16" s="79"/>
    </row>
    <row r="17" spans="2:7" ht="15" customHeight="1" x14ac:dyDescent="0.2">
      <c r="B17" s="14" t="s">
        <v>53</v>
      </c>
      <c r="C17" s="17"/>
      <c r="D17" s="74"/>
      <c r="E17" s="75"/>
      <c r="F17" s="75"/>
      <c r="G17" s="76"/>
    </row>
    <row r="18" spans="2:7" ht="15" customHeight="1" x14ac:dyDescent="0.2">
      <c r="B18" s="19" t="s">
        <v>44</v>
      </c>
      <c r="C18" s="70">
        <v>25000</v>
      </c>
      <c r="D18" s="80" t="s">
        <v>68</v>
      </c>
      <c r="E18" s="81"/>
      <c r="F18" s="81"/>
      <c r="G18" s="82"/>
    </row>
    <row r="19" spans="2:7" ht="15" customHeight="1" x14ac:dyDescent="0.2">
      <c r="B19" s="19" t="s">
        <v>45</v>
      </c>
      <c r="C19" s="70">
        <v>18000</v>
      </c>
      <c r="D19" s="83"/>
      <c r="E19" s="84"/>
      <c r="F19" s="84"/>
      <c r="G19" s="85"/>
    </row>
    <row r="20" spans="2:7" ht="15" customHeight="1" x14ac:dyDescent="0.2">
      <c r="B20" s="19" t="s">
        <v>47</v>
      </c>
      <c r="C20" s="62">
        <f>C18-C19</f>
        <v>7000</v>
      </c>
      <c r="D20" s="74"/>
      <c r="E20" s="75"/>
      <c r="F20" s="75"/>
      <c r="G20" s="76"/>
    </row>
    <row r="21" spans="2:7" ht="15" customHeight="1" x14ac:dyDescent="0.2">
      <c r="B21" s="19" t="s">
        <v>49</v>
      </c>
      <c r="C21" s="70">
        <v>600000</v>
      </c>
      <c r="D21" s="74"/>
      <c r="E21" s="75"/>
      <c r="F21" s="75"/>
      <c r="G21" s="76"/>
    </row>
    <row r="22" spans="2:7" ht="15" customHeight="1" x14ac:dyDescent="0.2">
      <c r="B22" s="19" t="s">
        <v>50</v>
      </c>
      <c r="C22" s="18">
        <f>(C21-C25)/(E9*C12)</f>
        <v>0.38709677419354838</v>
      </c>
      <c r="D22" s="74"/>
      <c r="E22" s="75"/>
      <c r="F22" s="75"/>
      <c r="G22" s="76"/>
    </row>
    <row r="23" spans="2:7" ht="15" customHeight="1" x14ac:dyDescent="0.2">
      <c r="B23" s="19" t="s">
        <v>48</v>
      </c>
      <c r="C23" s="71">
        <v>0.1</v>
      </c>
      <c r="D23" s="74"/>
      <c r="E23" s="75"/>
      <c r="F23" s="75"/>
      <c r="G23" s="76"/>
    </row>
    <row r="24" spans="2:7" ht="15" customHeight="1" x14ac:dyDescent="0.2">
      <c r="B24" s="19" t="s">
        <v>26</v>
      </c>
      <c r="C24" s="70">
        <v>6</v>
      </c>
      <c r="D24" s="74"/>
      <c r="E24" s="75"/>
      <c r="F24" s="75"/>
      <c r="G24" s="76"/>
    </row>
    <row r="25" spans="2:7" ht="15" customHeight="1" x14ac:dyDescent="0.2">
      <c r="B25" s="19" t="s">
        <v>52</v>
      </c>
      <c r="C25" s="72"/>
      <c r="D25" s="74" t="s">
        <v>69</v>
      </c>
      <c r="E25" s="75"/>
      <c r="F25" s="75"/>
      <c r="G25" s="76"/>
    </row>
    <row r="26" spans="2:7" ht="15" customHeight="1" x14ac:dyDescent="0.2">
      <c r="B26" s="14" t="s">
        <v>54</v>
      </c>
      <c r="C26" s="17"/>
      <c r="D26" s="74"/>
      <c r="E26" s="75"/>
      <c r="F26" s="75"/>
      <c r="G26" s="76"/>
    </row>
    <row r="27" spans="2:7" ht="15" customHeight="1" x14ac:dyDescent="0.2">
      <c r="B27" s="19" t="s">
        <v>66</v>
      </c>
      <c r="C27" s="70">
        <v>25000</v>
      </c>
      <c r="D27" s="80" t="s">
        <v>68</v>
      </c>
      <c r="E27" s="81"/>
      <c r="F27" s="81"/>
      <c r="G27" s="82"/>
    </row>
    <row r="28" spans="2:7" ht="15" customHeight="1" x14ac:dyDescent="0.2">
      <c r="B28" s="19" t="s">
        <v>45</v>
      </c>
      <c r="C28" s="70">
        <v>18000</v>
      </c>
      <c r="D28" s="83"/>
      <c r="E28" s="84"/>
      <c r="F28" s="84"/>
      <c r="G28" s="85"/>
    </row>
    <row r="29" spans="2:7" ht="15" customHeight="1" x14ac:dyDescent="0.2">
      <c r="B29" s="19" t="s">
        <v>47</v>
      </c>
      <c r="C29" s="62">
        <f>C27-C28</f>
        <v>7000</v>
      </c>
      <c r="D29" s="74"/>
      <c r="E29" s="75"/>
      <c r="F29" s="75"/>
      <c r="G29" s="76"/>
    </row>
    <row r="30" spans="2:7" s="2" customFormat="1" ht="15" customHeight="1" x14ac:dyDescent="0.2"/>
    <row r="32" spans="2:7" ht="15" hidden="1" customHeight="1" x14ac:dyDescent="0.2">
      <c r="E32" s="10"/>
    </row>
    <row r="33" spans="3:5" ht="15" hidden="1" customHeight="1" x14ac:dyDescent="0.2">
      <c r="E33" s="10"/>
    </row>
    <row r="34" spans="3:5" ht="15" hidden="1" customHeight="1" x14ac:dyDescent="0.2">
      <c r="C34" s="10"/>
      <c r="D34" s="10"/>
      <c r="E34" s="10"/>
    </row>
    <row r="35" spans="3:5" ht="15" hidden="1" customHeight="1" x14ac:dyDescent="0.2">
      <c r="C35" s="10"/>
      <c r="D35" s="10"/>
      <c r="E35" s="10"/>
    </row>
    <row r="36" spans="3:5" ht="15" hidden="1" customHeight="1" x14ac:dyDescent="0.2">
      <c r="C36" s="10"/>
      <c r="D36" s="10"/>
      <c r="E36" s="10"/>
    </row>
    <row r="37" spans="3:5" ht="15" hidden="1" customHeight="1" x14ac:dyDescent="0.2">
      <c r="C37" s="10"/>
      <c r="D37" s="10"/>
      <c r="E37" s="10"/>
    </row>
    <row r="38" spans="3:5" ht="15" hidden="1" customHeight="1" x14ac:dyDescent="0.2">
      <c r="C38" s="10"/>
      <c r="D38" s="10"/>
      <c r="E38" s="10"/>
    </row>
    <row r="39" spans="3:5" ht="15" hidden="1" customHeight="1" x14ac:dyDescent="0.2">
      <c r="C39" s="10"/>
      <c r="D39" s="10"/>
      <c r="E39" s="10"/>
    </row>
    <row r="40" spans="3:5" ht="15" hidden="1" customHeight="1" x14ac:dyDescent="0.2">
      <c r="C40" s="10"/>
      <c r="D40" s="10"/>
      <c r="E40" s="10"/>
    </row>
    <row r="41" spans="3:5" ht="15" hidden="1" customHeight="1" x14ac:dyDescent="0.2">
      <c r="C41" s="10"/>
      <c r="D41" s="10"/>
      <c r="E41" s="10"/>
    </row>
    <row r="42" spans="3:5" ht="15" hidden="1" customHeight="1" x14ac:dyDescent="0.2">
      <c r="C42" s="10"/>
      <c r="D42" s="10"/>
      <c r="E42" s="10"/>
    </row>
    <row r="43" spans="3:5" ht="15" hidden="1" customHeight="1" x14ac:dyDescent="0.2">
      <c r="C43" s="10"/>
      <c r="D43" s="10"/>
      <c r="E43" s="10"/>
    </row>
    <row r="44" spans="3:5" ht="15" hidden="1" customHeight="1" x14ac:dyDescent="0.2">
      <c r="C44" s="10"/>
      <c r="D44" s="10"/>
      <c r="E44" s="10"/>
    </row>
    <row r="45" spans="3:5" ht="15" hidden="1" customHeight="1" x14ac:dyDescent="0.2">
      <c r="C45" s="10"/>
      <c r="D45" s="10"/>
      <c r="E45" s="10"/>
    </row>
    <row r="46" spans="3:5" ht="15" hidden="1" customHeight="1" x14ac:dyDescent="0.2">
      <c r="C46" s="10"/>
      <c r="D46" s="10"/>
      <c r="E46" s="10"/>
    </row>
    <row r="47" spans="3:5" ht="15" hidden="1" customHeight="1" x14ac:dyDescent="0.2">
      <c r="C47" s="10"/>
      <c r="D47" s="10"/>
      <c r="E47" s="10"/>
    </row>
    <row r="48" spans="3:5" ht="15" hidden="1" customHeight="1" x14ac:dyDescent="0.2">
      <c r="C48" s="10"/>
      <c r="D48" s="10"/>
      <c r="E48" s="10"/>
    </row>
    <row r="49" spans="3:5" ht="15" hidden="1" customHeight="1" x14ac:dyDescent="0.2">
      <c r="C49" s="10"/>
      <c r="D49" s="10"/>
      <c r="E49" s="10"/>
    </row>
    <row r="50" spans="3:5" ht="15" hidden="1" customHeight="1" x14ac:dyDescent="0.2">
      <c r="C50" s="10"/>
      <c r="D50" s="10"/>
      <c r="E50" s="10"/>
    </row>
    <row r="51" spans="3:5" ht="15" hidden="1" customHeight="1" x14ac:dyDescent="0.2">
      <c r="C51" s="10"/>
      <c r="D51" s="10"/>
      <c r="E51" s="10"/>
    </row>
    <row r="52" spans="3:5" ht="15" hidden="1" customHeight="1" x14ac:dyDescent="0.2">
      <c r="C52" s="10"/>
      <c r="D52" s="10"/>
      <c r="E52" s="10"/>
    </row>
    <row r="53" spans="3:5" ht="15" hidden="1" customHeight="1" x14ac:dyDescent="0.2">
      <c r="C53" s="10"/>
      <c r="D53" s="10"/>
      <c r="E53" s="10"/>
    </row>
    <row r="54" spans="3:5" ht="15" hidden="1" customHeight="1" x14ac:dyDescent="0.2">
      <c r="C54" s="10"/>
      <c r="D54" s="10"/>
      <c r="E54" s="10"/>
    </row>
    <row r="55" spans="3:5" ht="15" hidden="1" customHeight="1" x14ac:dyDescent="0.2">
      <c r="C55" s="10"/>
      <c r="D55" s="10"/>
      <c r="E55" s="10"/>
    </row>
    <row r="56" spans="3:5" ht="15" hidden="1" customHeight="1" x14ac:dyDescent="0.2">
      <c r="C56" s="10"/>
      <c r="D56" s="10"/>
      <c r="E56" s="10"/>
    </row>
    <row r="57" spans="3:5" ht="15" hidden="1" customHeight="1" x14ac:dyDescent="0.2">
      <c r="C57" s="10"/>
      <c r="D57" s="10"/>
      <c r="E57" s="10"/>
    </row>
    <row r="58" spans="3:5" ht="15" hidden="1" customHeight="1" x14ac:dyDescent="0.2">
      <c r="C58" s="10"/>
      <c r="D58" s="10"/>
      <c r="E58" s="10"/>
    </row>
    <row r="59" spans="3:5" ht="15" hidden="1" customHeight="1" x14ac:dyDescent="0.2">
      <c r="C59" s="10"/>
      <c r="D59" s="10"/>
      <c r="E59" s="10"/>
    </row>
    <row r="60" spans="3:5" ht="15" hidden="1" customHeight="1" x14ac:dyDescent="0.2">
      <c r="C60" s="10"/>
      <c r="D60" s="10"/>
      <c r="E60" s="10"/>
    </row>
    <row r="61" spans="3:5" ht="15" hidden="1" customHeight="1" x14ac:dyDescent="0.2">
      <c r="C61" s="10"/>
      <c r="D61" s="10"/>
      <c r="E61" s="10"/>
    </row>
    <row r="62" spans="3:5" ht="15" hidden="1" customHeight="1" x14ac:dyDescent="0.2">
      <c r="C62" s="10"/>
      <c r="D62" s="10"/>
      <c r="E62" s="10"/>
    </row>
    <row r="63" spans="3:5" ht="15" hidden="1" customHeight="1" x14ac:dyDescent="0.2">
      <c r="D63" s="11"/>
    </row>
    <row r="64" spans="3:5" ht="15" hidden="1" customHeight="1" x14ac:dyDescent="0.2">
      <c r="D64" s="11"/>
    </row>
    <row r="65" spans="4:4" ht="15" hidden="1" customHeight="1" x14ac:dyDescent="0.2">
      <c r="D65" s="11"/>
    </row>
    <row r="66" spans="4:4" ht="15" hidden="1" customHeight="1" x14ac:dyDescent="0.2">
      <c r="D66" s="11"/>
    </row>
    <row r="67" spans="4:4" ht="15" hidden="1" customHeight="1" x14ac:dyDescent="0.2">
      <c r="D67" s="11"/>
    </row>
    <row r="68" spans="4:4" ht="15" hidden="1" customHeight="1" x14ac:dyDescent="0.2">
      <c r="D68" s="11"/>
    </row>
    <row r="69" spans="4:4" ht="15" hidden="1" customHeight="1" x14ac:dyDescent="0.2">
      <c r="D69" s="11"/>
    </row>
    <row r="70" spans="4:4" ht="15" hidden="1" customHeight="1" x14ac:dyDescent="0.2">
      <c r="D70" s="11"/>
    </row>
    <row r="71" spans="4:4" ht="15" hidden="1" customHeight="1" x14ac:dyDescent="0.2">
      <c r="D71" s="11"/>
    </row>
    <row r="72" spans="4:4" ht="15" hidden="1" customHeight="1" x14ac:dyDescent="0.2">
      <c r="D72" s="11"/>
    </row>
    <row r="73" spans="4:4" ht="15" hidden="1" customHeight="1" x14ac:dyDescent="0.2">
      <c r="D73" s="11"/>
    </row>
    <row r="74" spans="4:4" ht="15" hidden="1" customHeight="1" x14ac:dyDescent="0.2">
      <c r="D74" s="11"/>
    </row>
    <row r="75" spans="4:4" ht="15" hidden="1" customHeight="1" x14ac:dyDescent="0.2">
      <c r="D75" s="11"/>
    </row>
    <row r="76" spans="4:4" ht="15" hidden="1" customHeight="1" x14ac:dyDescent="0.2">
      <c r="D76" s="11"/>
    </row>
    <row r="77" spans="4:4" ht="15" hidden="1" customHeight="1" x14ac:dyDescent="0.2">
      <c r="D77" s="11"/>
    </row>
    <row r="78" spans="4:4" ht="15" hidden="1" customHeight="1" x14ac:dyDescent="0.2">
      <c r="D78" s="11"/>
    </row>
    <row r="79" spans="4:4" ht="15" hidden="1" customHeight="1" x14ac:dyDescent="0.2">
      <c r="D79" s="11"/>
    </row>
    <row r="80" spans="4:4" ht="15" hidden="1" customHeight="1" x14ac:dyDescent="0.2">
      <c r="D80" s="11"/>
    </row>
    <row r="81" spans="4:4" ht="15" hidden="1" customHeight="1" x14ac:dyDescent="0.2">
      <c r="D81" s="11"/>
    </row>
    <row r="82" spans="4:4" ht="15" hidden="1" customHeight="1" x14ac:dyDescent="0.2">
      <c r="D82" s="11"/>
    </row>
    <row r="83" spans="4:4" ht="15" hidden="1" customHeight="1" x14ac:dyDescent="0.2">
      <c r="D83" s="11"/>
    </row>
    <row r="84" spans="4:4" ht="15" hidden="1" customHeight="1" x14ac:dyDescent="0.2">
      <c r="D84" s="11"/>
    </row>
    <row r="85" spans="4:4" ht="15" hidden="1" customHeight="1" x14ac:dyDescent="0.2">
      <c r="D85" s="11"/>
    </row>
    <row r="86" spans="4:4" ht="15" hidden="1" customHeight="1" x14ac:dyDescent="0.2">
      <c r="D86" s="11"/>
    </row>
    <row r="87" spans="4:4" ht="15" hidden="1" customHeight="1" x14ac:dyDescent="0.2">
      <c r="D87" s="11"/>
    </row>
    <row r="88" spans="4:4" ht="15" hidden="1" customHeight="1" x14ac:dyDescent="0.2">
      <c r="D88" s="11"/>
    </row>
    <row r="89" spans="4:4" ht="15" hidden="1" customHeight="1" x14ac:dyDescent="0.2">
      <c r="D89" s="11"/>
    </row>
    <row r="90" spans="4:4" ht="15" hidden="1" customHeight="1" x14ac:dyDescent="0.2">
      <c r="D90" s="11"/>
    </row>
    <row r="91" spans="4:4" ht="15" hidden="1" customHeight="1" x14ac:dyDescent="0.2">
      <c r="D91" s="11"/>
    </row>
    <row r="92" spans="4:4" ht="15" hidden="1" customHeight="1" x14ac:dyDescent="0.2">
      <c r="D92" s="11"/>
    </row>
    <row r="93" spans="4:4" ht="15" hidden="1" customHeight="1" x14ac:dyDescent="0.2">
      <c r="D93" s="11"/>
    </row>
    <row r="94" spans="4:4" ht="15" hidden="1" customHeight="1" x14ac:dyDescent="0.2">
      <c r="D94" s="11"/>
    </row>
    <row r="95" spans="4:4" ht="15" hidden="1" customHeight="1" x14ac:dyDescent="0.2">
      <c r="D95" s="11"/>
    </row>
    <row r="96" spans="4:4" ht="15" hidden="1" customHeight="1" x14ac:dyDescent="0.2">
      <c r="D96" s="11"/>
    </row>
    <row r="97" spans="4:4" ht="15" hidden="1" customHeight="1" x14ac:dyDescent="0.2">
      <c r="D97" s="11"/>
    </row>
    <row r="98" spans="4:4" ht="15" hidden="1" customHeight="1" x14ac:dyDescent="0.2">
      <c r="D98" s="11"/>
    </row>
    <row r="99" spans="4:4" ht="15" hidden="1" customHeight="1" x14ac:dyDescent="0.2">
      <c r="D99" s="11"/>
    </row>
    <row r="100" spans="4:4" ht="15" hidden="1" customHeight="1" x14ac:dyDescent="0.2">
      <c r="D100" s="11"/>
    </row>
    <row r="101" spans="4:4" ht="15" hidden="1" customHeight="1" x14ac:dyDescent="0.2">
      <c r="D101" s="11"/>
    </row>
    <row r="102" spans="4:4" ht="15" hidden="1" customHeight="1" x14ac:dyDescent="0.2">
      <c r="D102" s="11"/>
    </row>
    <row r="103" spans="4:4" ht="15" hidden="1" customHeight="1" x14ac:dyDescent="0.2">
      <c r="D103" s="11"/>
    </row>
    <row r="104" spans="4:4" ht="15" hidden="1" customHeight="1" x14ac:dyDescent="0.2">
      <c r="D104" s="11"/>
    </row>
    <row r="105" spans="4:4" ht="15" hidden="1" customHeight="1" x14ac:dyDescent="0.2">
      <c r="D105" s="11"/>
    </row>
    <row r="106" spans="4:4" ht="15" hidden="1" customHeight="1" x14ac:dyDescent="0.2">
      <c r="D106" s="11"/>
    </row>
    <row r="107" spans="4:4" ht="15" hidden="1" customHeight="1" x14ac:dyDescent="0.2">
      <c r="D107" s="11"/>
    </row>
    <row r="108" spans="4:4" ht="15" hidden="1" customHeight="1" x14ac:dyDescent="0.2">
      <c r="D108" s="11"/>
    </row>
    <row r="109" spans="4:4" ht="15" hidden="1" customHeight="1" x14ac:dyDescent="0.2">
      <c r="D109" s="11"/>
    </row>
    <row r="110" spans="4:4" ht="15" hidden="1" customHeight="1" x14ac:dyDescent="0.2">
      <c r="D110" s="11"/>
    </row>
    <row r="111" spans="4:4" ht="15" hidden="1" customHeight="1" x14ac:dyDescent="0.2">
      <c r="D111" s="11"/>
    </row>
    <row r="112" spans="4:4" ht="15" hidden="1" customHeight="1" x14ac:dyDescent="0.2">
      <c r="D112" s="11"/>
    </row>
    <row r="113" spans="4:4" ht="15" hidden="1" customHeight="1" x14ac:dyDescent="0.2">
      <c r="D113" s="11"/>
    </row>
    <row r="114" spans="4:4" ht="15" hidden="1" customHeight="1" x14ac:dyDescent="0.2">
      <c r="D114" s="11"/>
    </row>
    <row r="115" spans="4:4" ht="15" hidden="1" customHeight="1" x14ac:dyDescent="0.2">
      <c r="D115" s="12"/>
    </row>
  </sheetData>
  <sheetProtection algorithmName="SHA-512" hashValue="pN8w6jXaKtRGHPwkW16GQJ2GkULi6xTwATURCtDysSEKruNQNXBh8voX1uShqbsn/7Ya7toBaz1txGiExmNGIA==" saltValue="yyNCCcujsUNzcSLIN1l/Fg==" spinCount="100000" sheet="1" objects="1" scenarios="1"/>
  <mergeCells count="16">
    <mergeCell ref="D13:G13"/>
    <mergeCell ref="D12:G12"/>
    <mergeCell ref="D11:G11"/>
    <mergeCell ref="E2:G3"/>
    <mergeCell ref="D26:G26"/>
    <mergeCell ref="D18:G19"/>
    <mergeCell ref="D29:G29"/>
    <mergeCell ref="D16:G16"/>
    <mergeCell ref="D25:G25"/>
    <mergeCell ref="D20:G20"/>
    <mergeCell ref="D21:G21"/>
    <mergeCell ref="D22:G22"/>
    <mergeCell ref="D23:G23"/>
    <mergeCell ref="D24:G24"/>
    <mergeCell ref="D27:G28"/>
    <mergeCell ref="D17:G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55D2-0B1F-4F60-8272-7EA36F9622AB}">
  <dimension ref="A1:U40"/>
  <sheetViews>
    <sheetView zoomScaleNormal="100" workbookViewId="0">
      <selection activeCell="F12" sqref="F12"/>
    </sheetView>
  </sheetViews>
  <sheetFormatPr defaultColWidth="0" defaultRowHeight="12.75" zeroHeight="1" x14ac:dyDescent="0.2"/>
  <cols>
    <col min="1" max="1" width="3.5" style="21" customWidth="1"/>
    <col min="2" max="2" width="45.5" style="10" bestFit="1" customWidth="1"/>
    <col min="3" max="3" width="9.625" style="10" bestFit="1" customWidth="1"/>
    <col min="4" max="5" width="9.875" style="10" bestFit="1" customWidth="1"/>
    <col min="6" max="6" width="10.25" style="10" bestFit="1" customWidth="1"/>
    <col min="7" max="7" width="10.75" style="10" bestFit="1" customWidth="1"/>
    <col min="8" max="8" width="10.25" style="10" bestFit="1" customWidth="1"/>
    <col min="9" max="18" width="9.875" style="10" bestFit="1" customWidth="1"/>
    <col min="19" max="19" width="4.125" style="21" customWidth="1"/>
    <col min="20" max="21" width="0" style="10" hidden="1" customWidth="1"/>
    <col min="22" max="16384" width="9" style="10" hidden="1"/>
  </cols>
  <sheetData>
    <row r="1" spans="2:18" s="21" customFormat="1" ht="13.5" thickBot="1" x14ac:dyDescent="0.25"/>
    <row r="2" spans="2:18" s="21" customFormat="1" ht="13.5" thickBot="1" x14ac:dyDescent="0.25">
      <c r="B2" s="58" t="s">
        <v>34</v>
      </c>
      <c r="C2" s="61"/>
      <c r="D2" s="92" t="s">
        <v>33</v>
      </c>
      <c r="E2" s="93"/>
      <c r="F2" s="94"/>
      <c r="G2" s="61"/>
      <c r="H2" s="92" t="s">
        <v>76</v>
      </c>
      <c r="I2" s="93"/>
      <c r="J2" s="93"/>
      <c r="K2" s="93"/>
      <c r="L2" s="93"/>
      <c r="M2" s="93"/>
      <c r="N2" s="93"/>
      <c r="O2" s="93"/>
      <c r="P2" s="94"/>
      <c r="Q2" s="95"/>
      <c r="R2" s="96"/>
    </row>
    <row r="3" spans="2:18" x14ac:dyDescent="0.2">
      <c r="B3" s="23" t="s">
        <v>64</v>
      </c>
      <c r="C3" s="63">
        <v>45107</v>
      </c>
      <c r="D3" s="56" t="s">
        <v>7</v>
      </c>
      <c r="E3" s="56" t="s">
        <v>8</v>
      </c>
      <c r="F3" s="56" t="s">
        <v>9</v>
      </c>
      <c r="G3" s="56" t="s">
        <v>10</v>
      </c>
      <c r="H3" s="56" t="s">
        <v>11</v>
      </c>
      <c r="I3" s="56" t="s">
        <v>12</v>
      </c>
      <c r="J3" s="56" t="s">
        <v>13</v>
      </c>
      <c r="K3" s="56" t="s">
        <v>14</v>
      </c>
      <c r="L3" s="56" t="s">
        <v>15</v>
      </c>
      <c r="M3" s="56" t="s">
        <v>16</v>
      </c>
      <c r="N3" s="56" t="s">
        <v>17</v>
      </c>
      <c r="O3" s="56" t="s">
        <v>18</v>
      </c>
      <c r="P3" s="56" t="s">
        <v>19</v>
      </c>
      <c r="Q3" s="56" t="s">
        <v>20</v>
      </c>
      <c r="R3" s="57" t="s">
        <v>21</v>
      </c>
    </row>
    <row r="4" spans="2:18" x14ac:dyDescent="0.2">
      <c r="B4" s="23" t="s">
        <v>6</v>
      </c>
      <c r="D4" s="24" t="s">
        <v>5</v>
      </c>
      <c r="R4" s="25"/>
    </row>
    <row r="5" spans="2:18" x14ac:dyDescent="0.2">
      <c r="B5" s="26" t="s">
        <v>2</v>
      </c>
      <c r="D5" s="27">
        <f>'Key inputs and assumptions'!C18*'Key inputs and assumptions'!$E$9</f>
        <v>1250000</v>
      </c>
      <c r="E5" s="27">
        <f>D5</f>
        <v>1250000</v>
      </c>
      <c r="F5" s="27">
        <f t="shared" ref="F5:R6" si="0">E5</f>
        <v>1250000</v>
      </c>
      <c r="G5" s="27">
        <f t="shared" si="0"/>
        <v>1250000</v>
      </c>
      <c r="H5" s="27">
        <f t="shared" si="0"/>
        <v>1250000</v>
      </c>
      <c r="I5" s="27">
        <f t="shared" si="0"/>
        <v>1250000</v>
      </c>
      <c r="J5" s="27">
        <f t="shared" si="0"/>
        <v>1250000</v>
      </c>
      <c r="K5" s="27">
        <f t="shared" si="0"/>
        <v>1250000</v>
      </c>
      <c r="L5" s="27">
        <f t="shared" si="0"/>
        <v>1250000</v>
      </c>
      <c r="M5" s="27">
        <f t="shared" si="0"/>
        <v>1250000</v>
      </c>
      <c r="N5" s="27">
        <f t="shared" si="0"/>
        <v>1250000</v>
      </c>
      <c r="O5" s="27">
        <f t="shared" si="0"/>
        <v>1250000</v>
      </c>
      <c r="P5" s="27">
        <f t="shared" si="0"/>
        <v>1250000</v>
      </c>
      <c r="Q5" s="27">
        <f t="shared" si="0"/>
        <v>1250000</v>
      </c>
      <c r="R5" s="28">
        <f t="shared" si="0"/>
        <v>1250000</v>
      </c>
    </row>
    <row r="6" spans="2:18" x14ac:dyDescent="0.2">
      <c r="B6" s="26" t="s">
        <v>3</v>
      </c>
      <c r="D6" s="29">
        <f>'Key inputs and assumptions'!C19*'Key inputs and assumptions'!E9</f>
        <v>900000</v>
      </c>
      <c r="E6" s="30">
        <f>D6</f>
        <v>900000</v>
      </c>
      <c r="F6" s="30">
        <f t="shared" si="0"/>
        <v>900000</v>
      </c>
      <c r="G6" s="30">
        <f t="shared" si="0"/>
        <v>900000</v>
      </c>
      <c r="H6" s="30">
        <f t="shared" si="0"/>
        <v>900000</v>
      </c>
      <c r="I6" s="30">
        <f t="shared" si="0"/>
        <v>900000</v>
      </c>
      <c r="J6" s="30">
        <f t="shared" si="0"/>
        <v>900000</v>
      </c>
      <c r="K6" s="30">
        <f t="shared" si="0"/>
        <v>900000</v>
      </c>
      <c r="L6" s="30">
        <f t="shared" si="0"/>
        <v>900000</v>
      </c>
      <c r="M6" s="30">
        <f t="shared" si="0"/>
        <v>900000</v>
      </c>
      <c r="N6" s="30">
        <f t="shared" si="0"/>
        <v>900000</v>
      </c>
      <c r="O6" s="30">
        <f t="shared" si="0"/>
        <v>900000</v>
      </c>
      <c r="P6" s="30">
        <f t="shared" si="0"/>
        <v>900000</v>
      </c>
      <c r="Q6" s="30">
        <f t="shared" si="0"/>
        <v>900000</v>
      </c>
      <c r="R6" s="31">
        <f t="shared" si="0"/>
        <v>900000</v>
      </c>
    </row>
    <row r="7" spans="2:18" x14ac:dyDescent="0.2">
      <c r="B7" s="26" t="s">
        <v>25</v>
      </c>
      <c r="D7" s="27">
        <f>D5-D6</f>
        <v>350000</v>
      </c>
      <c r="E7" s="27">
        <f t="shared" ref="E7:R7" si="1">E5-E6</f>
        <v>350000</v>
      </c>
      <c r="F7" s="27">
        <f t="shared" si="1"/>
        <v>350000</v>
      </c>
      <c r="G7" s="27">
        <f t="shared" si="1"/>
        <v>350000</v>
      </c>
      <c r="H7" s="27">
        <f t="shared" si="1"/>
        <v>350000</v>
      </c>
      <c r="I7" s="27">
        <f t="shared" si="1"/>
        <v>350000</v>
      </c>
      <c r="J7" s="27">
        <f t="shared" si="1"/>
        <v>350000</v>
      </c>
      <c r="K7" s="27">
        <f t="shared" si="1"/>
        <v>350000</v>
      </c>
      <c r="L7" s="27">
        <f t="shared" si="1"/>
        <v>350000</v>
      </c>
      <c r="M7" s="27">
        <f t="shared" si="1"/>
        <v>350000</v>
      </c>
      <c r="N7" s="27">
        <f t="shared" si="1"/>
        <v>350000</v>
      </c>
      <c r="O7" s="27">
        <f t="shared" si="1"/>
        <v>350000</v>
      </c>
      <c r="P7" s="27">
        <f t="shared" si="1"/>
        <v>350000</v>
      </c>
      <c r="Q7" s="27">
        <f t="shared" si="1"/>
        <v>350000</v>
      </c>
      <c r="R7" s="28">
        <f t="shared" si="1"/>
        <v>350000</v>
      </c>
    </row>
    <row r="8" spans="2:18" x14ac:dyDescent="0.2">
      <c r="B8" s="26" t="s">
        <v>23</v>
      </c>
      <c r="D8" s="29">
        <f>'Key inputs and assumptions'!C21-'Key inputs and assumptions'!C25</f>
        <v>600000</v>
      </c>
      <c r="E8" s="29">
        <f>D8-D12</f>
        <v>500000</v>
      </c>
      <c r="F8" s="29">
        <f t="shared" ref="F8:R8" si="2">E8-E12</f>
        <v>400000</v>
      </c>
      <c r="G8" s="29">
        <f t="shared" si="2"/>
        <v>300000</v>
      </c>
      <c r="H8" s="29">
        <f t="shared" si="2"/>
        <v>200000</v>
      </c>
      <c r="I8" s="29">
        <f t="shared" si="2"/>
        <v>100000</v>
      </c>
      <c r="J8" s="29">
        <f t="shared" si="2"/>
        <v>0</v>
      </c>
      <c r="K8" s="29">
        <f t="shared" si="2"/>
        <v>0</v>
      </c>
      <c r="L8" s="29">
        <f t="shared" si="2"/>
        <v>0</v>
      </c>
      <c r="M8" s="29">
        <f t="shared" si="2"/>
        <v>0</v>
      </c>
      <c r="N8" s="29">
        <f t="shared" si="2"/>
        <v>0</v>
      </c>
      <c r="O8" s="29">
        <f t="shared" si="2"/>
        <v>0</v>
      </c>
      <c r="P8" s="29">
        <f t="shared" si="2"/>
        <v>0</v>
      </c>
      <c r="Q8" s="29">
        <f t="shared" si="2"/>
        <v>0</v>
      </c>
      <c r="R8" s="32">
        <f t="shared" si="2"/>
        <v>0</v>
      </c>
    </row>
    <row r="9" spans="2:18" x14ac:dyDescent="0.2">
      <c r="B9" s="26" t="s">
        <v>24</v>
      </c>
      <c r="D9" s="29">
        <f t="shared" ref="D9:R9" si="3">D8*$C$13</f>
        <v>60000</v>
      </c>
      <c r="E9" s="29">
        <f t="shared" si="3"/>
        <v>50000</v>
      </c>
      <c r="F9" s="29">
        <f t="shared" si="3"/>
        <v>40000</v>
      </c>
      <c r="G9" s="29">
        <f t="shared" si="3"/>
        <v>30000</v>
      </c>
      <c r="H9" s="29">
        <f t="shared" si="3"/>
        <v>20000</v>
      </c>
      <c r="I9" s="29">
        <f t="shared" si="3"/>
        <v>10000</v>
      </c>
      <c r="J9" s="29">
        <f t="shared" si="3"/>
        <v>0</v>
      </c>
      <c r="K9" s="29">
        <f t="shared" si="3"/>
        <v>0</v>
      </c>
      <c r="L9" s="29">
        <f t="shared" si="3"/>
        <v>0</v>
      </c>
      <c r="M9" s="29">
        <f t="shared" si="3"/>
        <v>0</v>
      </c>
      <c r="N9" s="29">
        <f t="shared" si="3"/>
        <v>0</v>
      </c>
      <c r="O9" s="29">
        <f t="shared" si="3"/>
        <v>0</v>
      </c>
      <c r="P9" s="29">
        <f t="shared" si="3"/>
        <v>0</v>
      </c>
      <c r="Q9" s="29">
        <f t="shared" si="3"/>
        <v>0</v>
      </c>
      <c r="R9" s="32">
        <f t="shared" si="3"/>
        <v>0</v>
      </c>
    </row>
    <row r="10" spans="2:18" x14ac:dyDescent="0.2">
      <c r="B10" s="26" t="s">
        <v>27</v>
      </c>
      <c r="D10" s="33">
        <f>D7-D9</f>
        <v>290000</v>
      </c>
      <c r="E10" s="33">
        <f t="shared" ref="E10:R10" si="4">E7-E9</f>
        <v>300000</v>
      </c>
      <c r="F10" s="33">
        <f t="shared" si="4"/>
        <v>310000</v>
      </c>
      <c r="G10" s="33">
        <f t="shared" si="4"/>
        <v>320000</v>
      </c>
      <c r="H10" s="33">
        <f t="shared" si="4"/>
        <v>330000</v>
      </c>
      <c r="I10" s="33">
        <f t="shared" si="4"/>
        <v>340000</v>
      </c>
      <c r="J10" s="33">
        <f t="shared" si="4"/>
        <v>350000</v>
      </c>
      <c r="K10" s="33">
        <f t="shared" si="4"/>
        <v>350000</v>
      </c>
      <c r="L10" s="33">
        <f t="shared" si="4"/>
        <v>350000</v>
      </c>
      <c r="M10" s="33">
        <f t="shared" si="4"/>
        <v>350000</v>
      </c>
      <c r="N10" s="33">
        <f t="shared" si="4"/>
        <v>350000</v>
      </c>
      <c r="O10" s="33">
        <f t="shared" si="4"/>
        <v>350000</v>
      </c>
      <c r="P10" s="33">
        <f t="shared" si="4"/>
        <v>350000</v>
      </c>
      <c r="Q10" s="33">
        <f t="shared" si="4"/>
        <v>350000</v>
      </c>
      <c r="R10" s="34">
        <f t="shared" si="4"/>
        <v>350000</v>
      </c>
    </row>
    <row r="11" spans="2:18" x14ac:dyDescent="0.2">
      <c r="B11" s="26"/>
      <c r="D11" s="27"/>
      <c r="E11" s="27"/>
      <c r="F11" s="27"/>
      <c r="G11" s="27"/>
      <c r="H11" s="27"/>
      <c r="I11" s="27"/>
      <c r="J11" s="27"/>
      <c r="K11" s="27"/>
      <c r="L11" s="27"/>
      <c r="M11" s="27"/>
      <c r="N11" s="27"/>
      <c r="O11" s="27"/>
      <c r="P11" s="27"/>
      <c r="Q11" s="27"/>
      <c r="R11" s="28"/>
    </row>
    <row r="12" spans="2:18" x14ac:dyDescent="0.2">
      <c r="B12" s="26" t="s">
        <v>73</v>
      </c>
      <c r="D12" s="64">
        <f>D8/'Key inputs and assumptions'!C24</f>
        <v>100000</v>
      </c>
      <c r="E12" s="64">
        <f>D12</f>
        <v>100000</v>
      </c>
      <c r="F12" s="64">
        <f>E12</f>
        <v>100000</v>
      </c>
      <c r="G12" s="64">
        <f>F12</f>
        <v>100000</v>
      </c>
      <c r="H12" s="64">
        <f>G12</f>
        <v>100000</v>
      </c>
      <c r="I12" s="64">
        <f>H12</f>
        <v>100000</v>
      </c>
      <c r="J12" s="64"/>
      <c r="K12" s="64"/>
      <c r="L12" s="64"/>
      <c r="M12" s="64"/>
      <c r="N12" s="64"/>
      <c r="O12" s="64"/>
      <c r="P12" s="64"/>
      <c r="Q12" s="64"/>
      <c r="R12" s="65"/>
    </row>
    <row r="13" spans="2:18" ht="13.5" thickBot="1" x14ac:dyDescent="0.25">
      <c r="B13" s="35" t="s">
        <v>22</v>
      </c>
      <c r="C13" s="55">
        <f>'Key inputs and assumptions'!C23</f>
        <v>0.1</v>
      </c>
      <c r="D13" s="36" t="str">
        <f t="shared" ref="D13:R13" si="5">IF(D12=0,"",IF(D12&gt;D10,"Not Covered", "Ok"))</f>
        <v>Ok</v>
      </c>
      <c r="E13" s="36" t="str">
        <f t="shared" si="5"/>
        <v>Ok</v>
      </c>
      <c r="F13" s="36" t="str">
        <f t="shared" si="5"/>
        <v>Ok</v>
      </c>
      <c r="G13" s="36" t="str">
        <f t="shared" si="5"/>
        <v>Ok</v>
      </c>
      <c r="H13" s="36" t="str">
        <f t="shared" si="5"/>
        <v>Ok</v>
      </c>
      <c r="I13" s="36" t="str">
        <f t="shared" si="5"/>
        <v>Ok</v>
      </c>
      <c r="J13" s="36" t="str">
        <f t="shared" si="5"/>
        <v/>
      </c>
      <c r="K13" s="36" t="str">
        <f t="shared" si="5"/>
        <v/>
      </c>
      <c r="L13" s="36" t="str">
        <f t="shared" si="5"/>
        <v/>
      </c>
      <c r="M13" s="36" t="str">
        <f t="shared" si="5"/>
        <v/>
      </c>
      <c r="N13" s="36" t="str">
        <f t="shared" si="5"/>
        <v/>
      </c>
      <c r="O13" s="36" t="str">
        <f t="shared" si="5"/>
        <v/>
      </c>
      <c r="P13" s="36" t="str">
        <f t="shared" si="5"/>
        <v/>
      </c>
      <c r="Q13" s="36" t="str">
        <f t="shared" si="5"/>
        <v/>
      </c>
      <c r="R13" s="37" t="str">
        <f t="shared" si="5"/>
        <v/>
      </c>
    </row>
    <row r="14" spans="2:18" s="21" customFormat="1" ht="13.5" thickBot="1" x14ac:dyDescent="0.25">
      <c r="D14" s="38"/>
      <c r="E14" s="38"/>
      <c r="F14" s="38"/>
      <c r="G14" s="38"/>
      <c r="H14" s="38"/>
      <c r="I14" s="38"/>
      <c r="J14" s="38"/>
      <c r="K14" s="38"/>
      <c r="L14" s="38"/>
      <c r="M14" s="38"/>
      <c r="N14" s="38"/>
      <c r="O14" s="38"/>
      <c r="P14" s="38"/>
      <c r="Q14" s="38"/>
      <c r="R14" s="38"/>
    </row>
    <row r="15" spans="2:18" x14ac:dyDescent="0.2">
      <c r="B15" s="22" t="s">
        <v>63</v>
      </c>
      <c r="C15" s="39"/>
      <c r="D15" s="40" t="s">
        <v>7</v>
      </c>
      <c r="E15" s="40" t="s">
        <v>8</v>
      </c>
      <c r="F15" s="40" t="s">
        <v>9</v>
      </c>
      <c r="G15" s="40" t="s">
        <v>10</v>
      </c>
      <c r="H15" s="40" t="s">
        <v>11</v>
      </c>
      <c r="I15" s="40" t="s">
        <v>12</v>
      </c>
      <c r="J15" s="40" t="s">
        <v>13</v>
      </c>
      <c r="K15" s="40" t="s">
        <v>14</v>
      </c>
      <c r="L15" s="40" t="s">
        <v>15</v>
      </c>
      <c r="M15" s="40" t="s">
        <v>16</v>
      </c>
      <c r="N15" s="40" t="s">
        <v>17</v>
      </c>
      <c r="O15" s="40" t="s">
        <v>18</v>
      </c>
      <c r="P15" s="40" t="s">
        <v>19</v>
      </c>
      <c r="Q15" s="40" t="s">
        <v>20</v>
      </c>
      <c r="R15" s="41" t="s">
        <v>21</v>
      </c>
    </row>
    <row r="16" spans="2:18" x14ac:dyDescent="0.2">
      <c r="B16" s="23" t="s">
        <v>55</v>
      </c>
      <c r="D16" s="24" t="s">
        <v>5</v>
      </c>
      <c r="E16" s="27"/>
      <c r="F16" s="27"/>
      <c r="G16" s="27"/>
      <c r="H16" s="27"/>
      <c r="I16" s="27"/>
      <c r="J16" s="27"/>
      <c r="K16" s="27"/>
      <c r="L16" s="27"/>
      <c r="M16" s="27"/>
      <c r="N16" s="27"/>
      <c r="O16" s="27"/>
      <c r="P16" s="27"/>
      <c r="Q16" s="27"/>
      <c r="R16" s="28"/>
    </row>
    <row r="17" spans="2:18" x14ac:dyDescent="0.2">
      <c r="B17" s="26" t="s">
        <v>57</v>
      </c>
      <c r="D17" s="64">
        <f>50%*'Key inputs and assumptions'!$C$27*'Key inputs and assumptions'!$F$9</f>
        <v>250000</v>
      </c>
      <c r="E17" s="64">
        <f>100%*'Key inputs and assumptions'!$C$27*'Key inputs and assumptions'!$F$9</f>
        <v>500000</v>
      </c>
      <c r="F17" s="64">
        <f>100%*'Key inputs and assumptions'!$C$27*'Key inputs and assumptions'!$F$9</f>
        <v>500000</v>
      </c>
      <c r="G17" s="64">
        <f>100%*'Key inputs and assumptions'!$C$27*'Key inputs and assumptions'!$F$9</f>
        <v>500000</v>
      </c>
      <c r="H17" s="64">
        <f>100%*'Key inputs and assumptions'!$C$27*'Key inputs and assumptions'!$F$9</f>
        <v>500000</v>
      </c>
      <c r="I17" s="64">
        <f>100%*'Key inputs and assumptions'!$C$27*'Key inputs and assumptions'!$F$9</f>
        <v>500000</v>
      </c>
      <c r="J17" s="64">
        <f>100%*'Key inputs and assumptions'!$C$27*'Key inputs and assumptions'!$F$9</f>
        <v>500000</v>
      </c>
      <c r="K17" s="64">
        <f>100%*'Key inputs and assumptions'!$C$27*'Key inputs and assumptions'!$F$9</f>
        <v>500000</v>
      </c>
      <c r="L17" s="64">
        <f>100%*'Key inputs and assumptions'!$C$27*'Key inputs and assumptions'!$F$9</f>
        <v>500000</v>
      </c>
      <c r="M17" s="64">
        <f>100%*'Key inputs and assumptions'!$C$27*'Key inputs and assumptions'!$F$9</f>
        <v>500000</v>
      </c>
      <c r="N17" s="64">
        <f>100%*'Key inputs and assumptions'!$C$27*'Key inputs and assumptions'!$F$9</f>
        <v>500000</v>
      </c>
      <c r="O17" s="64">
        <f>100%*'Key inputs and assumptions'!$C$27*'Key inputs and assumptions'!$F$9</f>
        <v>500000</v>
      </c>
      <c r="P17" s="64">
        <f>100%*'Key inputs and assumptions'!$C$27*'Key inputs and assumptions'!$F$9</f>
        <v>500000</v>
      </c>
      <c r="Q17" s="64">
        <f>100%*'Key inputs and assumptions'!$C$27*'Key inputs and assumptions'!$F$9</f>
        <v>500000</v>
      </c>
      <c r="R17" s="65">
        <f>100%*'Key inputs and assumptions'!$C$27*'Key inputs and assumptions'!$F$9</f>
        <v>500000</v>
      </c>
    </row>
    <row r="18" spans="2:18" x14ac:dyDescent="0.2">
      <c r="B18" s="26" t="s">
        <v>58</v>
      </c>
      <c r="D18" s="64">
        <f>100%*'Key inputs and assumptions'!$C$28*'Key inputs and assumptions'!$F$9</f>
        <v>360000</v>
      </c>
      <c r="E18" s="64">
        <f>100%*'Key inputs and assumptions'!$C$28*'Key inputs and assumptions'!$F$9</f>
        <v>360000</v>
      </c>
      <c r="F18" s="64">
        <f>100%*'Key inputs and assumptions'!$C$28*'Key inputs and assumptions'!$F$9</f>
        <v>360000</v>
      </c>
      <c r="G18" s="64">
        <f>100%*'Key inputs and assumptions'!$C$28*'Key inputs and assumptions'!$F$9</f>
        <v>360000</v>
      </c>
      <c r="H18" s="64">
        <f>100%*'Key inputs and assumptions'!$C$28*'Key inputs and assumptions'!$F$9</f>
        <v>360000</v>
      </c>
      <c r="I18" s="64">
        <f>H18</f>
        <v>360000</v>
      </c>
      <c r="J18" s="64">
        <f t="shared" ref="J18:R18" si="6">I18</f>
        <v>360000</v>
      </c>
      <c r="K18" s="64">
        <f t="shared" si="6"/>
        <v>360000</v>
      </c>
      <c r="L18" s="64">
        <f t="shared" si="6"/>
        <v>360000</v>
      </c>
      <c r="M18" s="64">
        <f t="shared" si="6"/>
        <v>360000</v>
      </c>
      <c r="N18" s="64">
        <f t="shared" si="6"/>
        <v>360000</v>
      </c>
      <c r="O18" s="64">
        <f t="shared" si="6"/>
        <v>360000</v>
      </c>
      <c r="P18" s="64">
        <f t="shared" si="6"/>
        <v>360000</v>
      </c>
      <c r="Q18" s="64">
        <f t="shared" si="6"/>
        <v>360000</v>
      </c>
      <c r="R18" s="65">
        <f t="shared" si="6"/>
        <v>360000</v>
      </c>
    </row>
    <row r="19" spans="2:18" x14ac:dyDescent="0.2">
      <c r="B19" s="26" t="s">
        <v>25</v>
      </c>
      <c r="D19" s="27">
        <f t="shared" ref="D19:R19" si="7">D17-D18</f>
        <v>-110000</v>
      </c>
      <c r="E19" s="27">
        <f t="shared" si="7"/>
        <v>140000</v>
      </c>
      <c r="F19" s="27">
        <f t="shared" si="7"/>
        <v>140000</v>
      </c>
      <c r="G19" s="27">
        <f t="shared" si="7"/>
        <v>140000</v>
      </c>
      <c r="H19" s="27">
        <f t="shared" si="7"/>
        <v>140000</v>
      </c>
      <c r="I19" s="27">
        <f t="shared" si="7"/>
        <v>140000</v>
      </c>
      <c r="J19" s="27">
        <f t="shared" si="7"/>
        <v>140000</v>
      </c>
      <c r="K19" s="27">
        <f t="shared" si="7"/>
        <v>140000</v>
      </c>
      <c r="L19" s="27">
        <f t="shared" si="7"/>
        <v>140000</v>
      </c>
      <c r="M19" s="27">
        <f t="shared" si="7"/>
        <v>140000</v>
      </c>
      <c r="N19" s="27">
        <f t="shared" si="7"/>
        <v>140000</v>
      </c>
      <c r="O19" s="27">
        <f t="shared" si="7"/>
        <v>140000</v>
      </c>
      <c r="P19" s="27">
        <f t="shared" si="7"/>
        <v>140000</v>
      </c>
      <c r="Q19" s="27">
        <f t="shared" si="7"/>
        <v>140000</v>
      </c>
      <c r="R19" s="28">
        <f t="shared" si="7"/>
        <v>140000</v>
      </c>
    </row>
    <row r="20" spans="2:18" x14ac:dyDescent="0.2">
      <c r="B20" s="26" t="s">
        <v>67</v>
      </c>
      <c r="D20" s="66">
        <v>0.67</v>
      </c>
      <c r="E20" s="66">
        <f>1-D20</f>
        <v>0.32999999999999996</v>
      </c>
      <c r="F20" s="66"/>
      <c r="G20" s="66"/>
      <c r="H20" s="64"/>
      <c r="I20" s="29"/>
      <c r="J20" s="29"/>
      <c r="K20" s="29"/>
      <c r="L20" s="29"/>
      <c r="M20" s="29"/>
      <c r="N20" s="29"/>
      <c r="O20" s="29"/>
      <c r="P20" s="29"/>
      <c r="Q20" s="29"/>
      <c r="R20" s="32"/>
    </row>
    <row r="21" spans="2:18" x14ac:dyDescent="0.2">
      <c r="B21" s="26" t="s">
        <v>4</v>
      </c>
      <c r="D21" s="67">
        <f>('Key inputs and assumptions'!$C$14*D20)+C21-C25</f>
        <v>435500</v>
      </c>
      <c r="E21" s="67">
        <f>('Key inputs and assumptions'!$C$14*E20)+D21-D25</f>
        <v>650000</v>
      </c>
      <c r="F21" s="67">
        <f>('Key inputs and assumptions'!$C$14*F20)+E21-E25</f>
        <v>568750</v>
      </c>
      <c r="G21" s="67">
        <f>('Key inputs and assumptions'!$C$14*G20)+F21-F25</f>
        <v>487500</v>
      </c>
      <c r="H21" s="64">
        <f>('Key inputs and assumptions'!$C$14*H20)+G21-G25</f>
        <v>406250</v>
      </c>
      <c r="I21" s="64">
        <f>('Key inputs and assumptions'!$C$14*I20)+H21-H25</f>
        <v>325000</v>
      </c>
      <c r="J21" s="64">
        <f>('Key inputs and assumptions'!$C$14*J20)+I21-I25</f>
        <v>243750</v>
      </c>
      <c r="K21" s="64">
        <f>('Key inputs and assumptions'!$C$14*K20)+J21-J25</f>
        <v>162500</v>
      </c>
      <c r="L21" s="64">
        <f>('Key inputs and assumptions'!$C$14*L20)+K21-K25</f>
        <v>81250</v>
      </c>
      <c r="M21" s="64">
        <f>('Key inputs and assumptions'!$C$14*M20)+L21-L25</f>
        <v>0</v>
      </c>
      <c r="N21" s="64">
        <f>('Key inputs and assumptions'!$C$14*N20)+M21-M25</f>
        <v>0</v>
      </c>
      <c r="O21" s="64">
        <f>('Key inputs and assumptions'!$C$14*O20)+N21-N25</f>
        <v>0</v>
      </c>
      <c r="P21" s="64">
        <f>('Key inputs and assumptions'!$C$14*P20)+O21-O25</f>
        <v>0</v>
      </c>
      <c r="Q21" s="64">
        <f>('Key inputs and assumptions'!$C$14*Q20)+P21-P25</f>
        <v>0</v>
      </c>
      <c r="R21" s="65">
        <f>('Key inputs and assumptions'!$C$14*R20)+Q21-Q25</f>
        <v>0</v>
      </c>
    </row>
    <row r="22" spans="2:18" x14ac:dyDescent="0.2">
      <c r="B22" s="26" t="s">
        <v>24</v>
      </c>
      <c r="D22" s="29">
        <f>$C$26*D21</f>
        <v>0</v>
      </c>
      <c r="E22" s="29">
        <f>$C$27*E21</f>
        <v>39000</v>
      </c>
      <c r="F22" s="29">
        <f t="shared" ref="F22:R22" si="8">$C$27*F21</f>
        <v>34125</v>
      </c>
      <c r="G22" s="29">
        <f t="shared" si="8"/>
        <v>29250</v>
      </c>
      <c r="H22" s="29">
        <f t="shared" si="8"/>
        <v>24375</v>
      </c>
      <c r="I22" s="29">
        <f t="shared" si="8"/>
        <v>19500</v>
      </c>
      <c r="J22" s="29">
        <f t="shared" si="8"/>
        <v>14625</v>
      </c>
      <c r="K22" s="29">
        <f t="shared" si="8"/>
        <v>9750</v>
      </c>
      <c r="L22" s="29">
        <f t="shared" si="8"/>
        <v>4875</v>
      </c>
      <c r="M22" s="29">
        <f t="shared" si="8"/>
        <v>0</v>
      </c>
      <c r="N22" s="29">
        <f t="shared" si="8"/>
        <v>0</v>
      </c>
      <c r="O22" s="29">
        <f t="shared" si="8"/>
        <v>0</v>
      </c>
      <c r="P22" s="29">
        <f t="shared" si="8"/>
        <v>0</v>
      </c>
      <c r="Q22" s="29">
        <f t="shared" si="8"/>
        <v>0</v>
      </c>
      <c r="R22" s="32">
        <f t="shared" si="8"/>
        <v>0</v>
      </c>
    </row>
    <row r="23" spans="2:18" x14ac:dyDescent="0.2">
      <c r="B23" s="26" t="s">
        <v>27</v>
      </c>
      <c r="D23" s="33">
        <f t="shared" ref="D23:R23" si="9">D19-D22</f>
        <v>-110000</v>
      </c>
      <c r="E23" s="33">
        <f t="shared" si="9"/>
        <v>101000</v>
      </c>
      <c r="F23" s="33">
        <f t="shared" si="9"/>
        <v>105875</v>
      </c>
      <c r="G23" s="33">
        <f t="shared" si="9"/>
        <v>110750</v>
      </c>
      <c r="H23" s="33">
        <f t="shared" si="9"/>
        <v>115625</v>
      </c>
      <c r="I23" s="33">
        <f t="shared" si="9"/>
        <v>120500</v>
      </c>
      <c r="J23" s="33">
        <f t="shared" si="9"/>
        <v>125375</v>
      </c>
      <c r="K23" s="33">
        <f t="shared" si="9"/>
        <v>130250</v>
      </c>
      <c r="L23" s="33">
        <f t="shared" si="9"/>
        <v>135125</v>
      </c>
      <c r="M23" s="33">
        <f t="shared" si="9"/>
        <v>140000</v>
      </c>
      <c r="N23" s="33">
        <f t="shared" si="9"/>
        <v>140000</v>
      </c>
      <c r="O23" s="33">
        <f t="shared" si="9"/>
        <v>140000</v>
      </c>
      <c r="P23" s="33">
        <f t="shared" si="9"/>
        <v>140000</v>
      </c>
      <c r="Q23" s="33">
        <f t="shared" si="9"/>
        <v>140000</v>
      </c>
      <c r="R23" s="34">
        <f t="shared" si="9"/>
        <v>140000</v>
      </c>
    </row>
    <row r="24" spans="2:18" x14ac:dyDescent="0.2">
      <c r="B24" s="26"/>
      <c r="D24" s="27"/>
      <c r="E24" s="27"/>
      <c r="F24" s="27"/>
      <c r="G24" s="27"/>
      <c r="H24" s="27"/>
      <c r="I24" s="27"/>
      <c r="J24" s="27"/>
      <c r="K24" s="27"/>
      <c r="L24" s="27"/>
      <c r="M24" s="27"/>
      <c r="N24" s="27"/>
      <c r="O24" s="27"/>
      <c r="P24" s="27"/>
      <c r="Q24" s="27"/>
      <c r="R24" s="28"/>
    </row>
    <row r="25" spans="2:18" x14ac:dyDescent="0.2">
      <c r="B25" s="26" t="s">
        <v>74</v>
      </c>
      <c r="D25" s="64"/>
      <c r="E25" s="64">
        <f>E21/8</f>
        <v>81250</v>
      </c>
      <c r="F25" s="64">
        <f>E25</f>
        <v>81250</v>
      </c>
      <c r="G25" s="64">
        <f t="shared" ref="G25:L25" si="10">F25</f>
        <v>81250</v>
      </c>
      <c r="H25" s="64">
        <f t="shared" si="10"/>
        <v>81250</v>
      </c>
      <c r="I25" s="64">
        <f t="shared" si="10"/>
        <v>81250</v>
      </c>
      <c r="J25" s="64">
        <f t="shared" si="10"/>
        <v>81250</v>
      </c>
      <c r="K25" s="64">
        <f t="shared" si="10"/>
        <v>81250</v>
      </c>
      <c r="L25" s="64">
        <f t="shared" si="10"/>
        <v>81250</v>
      </c>
      <c r="M25" s="64"/>
      <c r="N25" s="64"/>
      <c r="O25" s="64"/>
      <c r="P25" s="64"/>
      <c r="Q25" s="64"/>
      <c r="R25" s="65"/>
    </row>
    <row r="26" spans="2:18" x14ac:dyDescent="0.2">
      <c r="B26" s="26" t="s">
        <v>59</v>
      </c>
      <c r="C26" s="59">
        <v>0</v>
      </c>
      <c r="D26" s="27" t="str">
        <f>IF(D25=0,"",IF(D25&gt;D23,"Not Covered", "Ok"))</f>
        <v/>
      </c>
      <c r="E26" s="27" t="str">
        <f>IF(E25=0,"",IF(E25&gt;E23,"Not Covered", "Ok"))</f>
        <v>Ok</v>
      </c>
      <c r="F26" s="27" t="str">
        <f>IF(F25=0,"",IF(F25&gt;F23, "Not covered", "Ok"))</f>
        <v>Ok</v>
      </c>
      <c r="G26" s="27" t="str">
        <f>IF(G25=0,"",IF(G25&gt;G23, "Not covered", "Ok"))</f>
        <v>Ok</v>
      </c>
      <c r="H26" s="27" t="str">
        <f>IF(H25=0,"",IF(H25&gt;H23, "Not covered", "Ok"))</f>
        <v>Ok</v>
      </c>
      <c r="I26" s="27" t="str">
        <f>IF(I25=0,"",IF(I25&gt;I23, "Not covered", "Ok"))</f>
        <v>Ok</v>
      </c>
      <c r="J26" s="27" t="str">
        <f>IF(J25=0,"",IF(J25&gt;J23, "Not covered", "Ok"))</f>
        <v>Ok</v>
      </c>
      <c r="K26" s="27" t="str">
        <f t="shared" ref="K26:Q26" si="11">IF(K25=0,"",IF(K25&gt;K23, "Not covered", "Ok"))</f>
        <v>Ok</v>
      </c>
      <c r="L26" s="27" t="str">
        <f t="shared" si="11"/>
        <v>Ok</v>
      </c>
      <c r="M26" s="27" t="str">
        <f t="shared" si="11"/>
        <v/>
      </c>
      <c r="N26" s="27" t="str">
        <f t="shared" si="11"/>
        <v/>
      </c>
      <c r="O26" s="27" t="str">
        <f t="shared" si="11"/>
        <v/>
      </c>
      <c r="P26" s="27" t="str">
        <f t="shared" si="11"/>
        <v/>
      </c>
      <c r="Q26" s="27" t="str">
        <f t="shared" si="11"/>
        <v/>
      </c>
      <c r="R26" s="28" t="str">
        <f>IF(R25=0,"",IF(R25&gt;R23,"Not Covered", "Ok"))</f>
        <v/>
      </c>
    </row>
    <row r="27" spans="2:18" ht="13.5" thickBot="1" x14ac:dyDescent="0.25">
      <c r="B27" s="35" t="s">
        <v>60</v>
      </c>
      <c r="C27" s="60">
        <v>0.06</v>
      </c>
      <c r="D27" s="42"/>
      <c r="E27" s="42"/>
      <c r="F27" s="42"/>
      <c r="G27" s="42"/>
      <c r="H27" s="42"/>
      <c r="I27" s="42"/>
      <c r="J27" s="42"/>
      <c r="K27" s="42"/>
      <c r="L27" s="42"/>
      <c r="M27" s="42"/>
      <c r="N27" s="42"/>
      <c r="O27" s="42"/>
      <c r="P27" s="42"/>
      <c r="Q27" s="42"/>
      <c r="R27" s="43"/>
    </row>
    <row r="28" spans="2:18" s="21" customFormat="1" ht="13.5" thickBot="1" x14ac:dyDescent="0.25">
      <c r="D28" s="38"/>
      <c r="E28" s="38"/>
      <c r="F28" s="38"/>
      <c r="G28" s="38"/>
      <c r="H28" s="38"/>
      <c r="I28" s="38"/>
      <c r="J28" s="38"/>
      <c r="K28" s="38"/>
      <c r="L28" s="38"/>
      <c r="M28" s="38"/>
      <c r="N28" s="38"/>
      <c r="O28" s="38"/>
      <c r="P28" s="38"/>
      <c r="Q28" s="38"/>
      <c r="R28" s="38"/>
    </row>
    <row r="29" spans="2:18" x14ac:dyDescent="0.2">
      <c r="B29" s="22" t="s">
        <v>56</v>
      </c>
      <c r="C29" s="44"/>
      <c r="D29" s="40" t="str">
        <f>'Forecast Income Statements'!D3</f>
        <v>T+1</v>
      </c>
      <c r="E29" s="40" t="str">
        <f>'Forecast Income Statements'!E3</f>
        <v>T+2</v>
      </c>
      <c r="F29" s="40" t="str">
        <f>'Forecast Income Statements'!F3</f>
        <v>T+3</v>
      </c>
      <c r="G29" s="40" t="str">
        <f>'Forecast Income Statements'!G3</f>
        <v>T+4</v>
      </c>
      <c r="H29" s="40" t="str">
        <f>'Forecast Income Statements'!H3</f>
        <v>T+5</v>
      </c>
      <c r="I29" s="40" t="str">
        <f>'Forecast Income Statements'!I3</f>
        <v>T+6</v>
      </c>
      <c r="J29" s="40" t="str">
        <f>'Forecast Income Statements'!J3</f>
        <v>T+7</v>
      </c>
      <c r="K29" s="40" t="str">
        <f>'Forecast Income Statements'!K3</f>
        <v>T+8</v>
      </c>
      <c r="L29" s="40" t="str">
        <f>'Forecast Income Statements'!L3</f>
        <v>T+9</v>
      </c>
      <c r="M29" s="40" t="str">
        <f>'Forecast Income Statements'!M3</f>
        <v>T+10</v>
      </c>
      <c r="N29" s="40" t="str">
        <f>'Forecast Income Statements'!N3</f>
        <v>T+11</v>
      </c>
      <c r="O29" s="40" t="str">
        <f>'Forecast Income Statements'!O3</f>
        <v>T+12</v>
      </c>
      <c r="P29" s="40" t="str">
        <f>'Forecast Income Statements'!P3</f>
        <v>T+13</v>
      </c>
      <c r="Q29" s="40" t="str">
        <f>'Forecast Income Statements'!Q3</f>
        <v>T+14</v>
      </c>
      <c r="R29" s="41" t="str">
        <f>'Forecast Income Statements'!R3</f>
        <v>T+15</v>
      </c>
    </row>
    <row r="30" spans="2:18" x14ac:dyDescent="0.2">
      <c r="B30" s="23" t="s">
        <v>55</v>
      </c>
      <c r="D30" s="24" t="s">
        <v>5</v>
      </c>
      <c r="E30" s="27"/>
      <c r="F30" s="27"/>
      <c r="G30" s="27"/>
      <c r="H30" s="27"/>
      <c r="I30" s="27"/>
      <c r="J30" s="27"/>
      <c r="K30" s="27"/>
      <c r="L30" s="27"/>
      <c r="M30" s="27"/>
      <c r="N30" s="27"/>
      <c r="O30" s="27"/>
      <c r="P30" s="27"/>
      <c r="Q30" s="27"/>
      <c r="R30" s="28"/>
    </row>
    <row r="31" spans="2:18" x14ac:dyDescent="0.2">
      <c r="B31" s="26" t="s">
        <v>2</v>
      </c>
      <c r="D31" s="27">
        <f>'Forecast Income Statements'!D5+'Forecast Income Statements'!D17</f>
        <v>1500000</v>
      </c>
      <c r="E31" s="27">
        <f>'Forecast Income Statements'!E5+'Forecast Income Statements'!E17</f>
        <v>1750000</v>
      </c>
      <c r="F31" s="27">
        <f>'Forecast Income Statements'!F5+'Forecast Income Statements'!F17</f>
        <v>1750000</v>
      </c>
      <c r="G31" s="27">
        <f>'Forecast Income Statements'!G5+'Forecast Income Statements'!G17</f>
        <v>1750000</v>
      </c>
      <c r="H31" s="27">
        <f>'Forecast Income Statements'!H5+'Forecast Income Statements'!H17</f>
        <v>1750000</v>
      </c>
      <c r="I31" s="27">
        <f>'Forecast Income Statements'!I5+'Forecast Income Statements'!I17</f>
        <v>1750000</v>
      </c>
      <c r="J31" s="27">
        <f>'Forecast Income Statements'!J5+'Forecast Income Statements'!J17</f>
        <v>1750000</v>
      </c>
      <c r="K31" s="27">
        <f>'Forecast Income Statements'!K5+'Forecast Income Statements'!K17</f>
        <v>1750000</v>
      </c>
      <c r="L31" s="27">
        <f>'Forecast Income Statements'!L5+'Forecast Income Statements'!L17</f>
        <v>1750000</v>
      </c>
      <c r="M31" s="27">
        <f>'Forecast Income Statements'!M5+'Forecast Income Statements'!M17</f>
        <v>1750000</v>
      </c>
      <c r="N31" s="27">
        <f>'Forecast Income Statements'!N5+'Forecast Income Statements'!N17</f>
        <v>1750000</v>
      </c>
      <c r="O31" s="27">
        <f>'Forecast Income Statements'!O5+'Forecast Income Statements'!O17</f>
        <v>1750000</v>
      </c>
      <c r="P31" s="27">
        <f>'Forecast Income Statements'!P5+'Forecast Income Statements'!P17</f>
        <v>1750000</v>
      </c>
      <c r="Q31" s="27">
        <f>'Forecast Income Statements'!Q5+'Forecast Income Statements'!Q17</f>
        <v>1750000</v>
      </c>
      <c r="R31" s="28">
        <f>'Forecast Income Statements'!R5+'Forecast Income Statements'!R17</f>
        <v>1750000</v>
      </c>
    </row>
    <row r="32" spans="2:18" x14ac:dyDescent="0.2">
      <c r="B32" s="26" t="s">
        <v>3</v>
      </c>
      <c r="D32" s="27">
        <f>'Forecast Income Statements'!D6+'Forecast Income Statements'!D18</f>
        <v>1260000</v>
      </c>
      <c r="E32" s="27">
        <f>'Forecast Income Statements'!E6+'Forecast Income Statements'!E18</f>
        <v>1260000</v>
      </c>
      <c r="F32" s="27">
        <f>'Forecast Income Statements'!F6+'Forecast Income Statements'!F18</f>
        <v>1260000</v>
      </c>
      <c r="G32" s="27">
        <f>'Forecast Income Statements'!G6+'Forecast Income Statements'!G18</f>
        <v>1260000</v>
      </c>
      <c r="H32" s="27">
        <f>'Forecast Income Statements'!H6+'Forecast Income Statements'!H18</f>
        <v>1260000</v>
      </c>
      <c r="I32" s="27">
        <f>'Forecast Income Statements'!I6+'Forecast Income Statements'!I18</f>
        <v>1260000</v>
      </c>
      <c r="J32" s="27">
        <f>'Forecast Income Statements'!J6+'Forecast Income Statements'!J18</f>
        <v>1260000</v>
      </c>
      <c r="K32" s="27">
        <f>'Forecast Income Statements'!K6+'Forecast Income Statements'!K18</f>
        <v>1260000</v>
      </c>
      <c r="L32" s="27">
        <f>'Forecast Income Statements'!L6+'Forecast Income Statements'!L18</f>
        <v>1260000</v>
      </c>
      <c r="M32" s="27">
        <f>'Forecast Income Statements'!M6+'Forecast Income Statements'!M18</f>
        <v>1260000</v>
      </c>
      <c r="N32" s="27">
        <f>'Forecast Income Statements'!N6+'Forecast Income Statements'!N18</f>
        <v>1260000</v>
      </c>
      <c r="O32" s="27">
        <f>'Forecast Income Statements'!O6+'Forecast Income Statements'!O18</f>
        <v>1260000</v>
      </c>
      <c r="P32" s="27">
        <f>'Forecast Income Statements'!P6+'Forecast Income Statements'!P18</f>
        <v>1260000</v>
      </c>
      <c r="Q32" s="27">
        <f>'Forecast Income Statements'!Q6+'Forecast Income Statements'!Q18</f>
        <v>1260000</v>
      </c>
      <c r="R32" s="28">
        <f>'Forecast Income Statements'!R6+'Forecast Income Statements'!R18</f>
        <v>1260000</v>
      </c>
    </row>
    <row r="33" spans="2:18" x14ac:dyDescent="0.2">
      <c r="B33" s="26" t="s">
        <v>25</v>
      </c>
      <c r="D33" s="33">
        <f>'Forecast Income Statements'!D7+'Forecast Income Statements'!D19</f>
        <v>240000</v>
      </c>
      <c r="E33" s="33">
        <f>'Forecast Income Statements'!E7+'Forecast Income Statements'!E19</f>
        <v>490000</v>
      </c>
      <c r="F33" s="33">
        <f>'Forecast Income Statements'!F7+'Forecast Income Statements'!F19</f>
        <v>490000</v>
      </c>
      <c r="G33" s="33">
        <f>'Forecast Income Statements'!G7+'Forecast Income Statements'!G19</f>
        <v>490000</v>
      </c>
      <c r="H33" s="33">
        <f>'Forecast Income Statements'!H7+'Forecast Income Statements'!H19</f>
        <v>490000</v>
      </c>
      <c r="I33" s="33">
        <f>'Forecast Income Statements'!I7+'Forecast Income Statements'!I19</f>
        <v>490000</v>
      </c>
      <c r="J33" s="33">
        <f>'Forecast Income Statements'!J7+'Forecast Income Statements'!J19</f>
        <v>490000</v>
      </c>
      <c r="K33" s="33">
        <f>'Forecast Income Statements'!K7+'Forecast Income Statements'!K19</f>
        <v>490000</v>
      </c>
      <c r="L33" s="33">
        <f>'Forecast Income Statements'!L7+'Forecast Income Statements'!L19</f>
        <v>490000</v>
      </c>
      <c r="M33" s="33">
        <f>'Forecast Income Statements'!M7+'Forecast Income Statements'!M19</f>
        <v>490000</v>
      </c>
      <c r="N33" s="33">
        <f>'Forecast Income Statements'!N7+'Forecast Income Statements'!N19</f>
        <v>490000</v>
      </c>
      <c r="O33" s="33">
        <f>'Forecast Income Statements'!O7+'Forecast Income Statements'!O19</f>
        <v>490000</v>
      </c>
      <c r="P33" s="33">
        <f>'Forecast Income Statements'!P7+'Forecast Income Statements'!P19</f>
        <v>490000</v>
      </c>
      <c r="Q33" s="33">
        <f>'Forecast Income Statements'!Q7+'Forecast Income Statements'!Q19</f>
        <v>490000</v>
      </c>
      <c r="R33" s="34">
        <f>'Forecast Income Statements'!R7+'Forecast Income Statements'!R19</f>
        <v>490000</v>
      </c>
    </row>
    <row r="34" spans="2:18" x14ac:dyDescent="0.2">
      <c r="B34" s="26" t="s">
        <v>23</v>
      </c>
      <c r="D34" s="27">
        <f>'Forecast Income Statements'!D8+'Forecast Income Statements'!D21</f>
        <v>1035500</v>
      </c>
      <c r="E34" s="27">
        <f>'Forecast Income Statements'!E8+'Forecast Income Statements'!E21</f>
        <v>1150000</v>
      </c>
      <c r="F34" s="27">
        <f>'Forecast Income Statements'!F8+'Forecast Income Statements'!F21</f>
        <v>968750</v>
      </c>
      <c r="G34" s="27">
        <f>'Forecast Income Statements'!G8+'Forecast Income Statements'!G21</f>
        <v>787500</v>
      </c>
      <c r="H34" s="27">
        <f>'Forecast Income Statements'!H8+'Forecast Income Statements'!H21</f>
        <v>606250</v>
      </c>
      <c r="I34" s="27">
        <f>'Forecast Income Statements'!I8+'Forecast Income Statements'!I21</f>
        <v>425000</v>
      </c>
      <c r="J34" s="27">
        <f>'Forecast Income Statements'!J8+'Forecast Income Statements'!J21</f>
        <v>243750</v>
      </c>
      <c r="K34" s="27">
        <f>'Forecast Income Statements'!K8+'Forecast Income Statements'!K21</f>
        <v>162500</v>
      </c>
      <c r="L34" s="27">
        <f>'Forecast Income Statements'!L8+'Forecast Income Statements'!L21</f>
        <v>81250</v>
      </c>
      <c r="M34" s="27">
        <f>'Forecast Income Statements'!M8+'Forecast Income Statements'!M21</f>
        <v>0</v>
      </c>
      <c r="N34" s="27">
        <f>'Forecast Income Statements'!N8+'Forecast Income Statements'!N21</f>
        <v>0</v>
      </c>
      <c r="O34" s="27">
        <f>'Forecast Income Statements'!O8+'Forecast Income Statements'!O21</f>
        <v>0</v>
      </c>
      <c r="P34" s="27">
        <f>'Forecast Income Statements'!P8+'Forecast Income Statements'!P21</f>
        <v>0</v>
      </c>
      <c r="Q34" s="27">
        <f>'Forecast Income Statements'!Q8+'Forecast Income Statements'!Q21</f>
        <v>0</v>
      </c>
      <c r="R34" s="28">
        <f>'Forecast Income Statements'!R8+'Forecast Income Statements'!R21</f>
        <v>0</v>
      </c>
    </row>
    <row r="35" spans="2:18" x14ac:dyDescent="0.2">
      <c r="B35" s="26" t="s">
        <v>24</v>
      </c>
      <c r="D35" s="27">
        <f>'Forecast Income Statements'!D9+'Forecast Income Statements'!D22</f>
        <v>60000</v>
      </c>
      <c r="E35" s="27">
        <f>'Forecast Income Statements'!E9+'Forecast Income Statements'!E22</f>
        <v>89000</v>
      </c>
      <c r="F35" s="27">
        <f>'Forecast Income Statements'!F9+'Forecast Income Statements'!F22</f>
        <v>74125</v>
      </c>
      <c r="G35" s="27">
        <f>'Forecast Income Statements'!G9+'Forecast Income Statements'!G22</f>
        <v>59250</v>
      </c>
      <c r="H35" s="27">
        <f>'Forecast Income Statements'!H9+'Forecast Income Statements'!H22</f>
        <v>44375</v>
      </c>
      <c r="I35" s="27">
        <f>'Forecast Income Statements'!I9+'Forecast Income Statements'!H22</f>
        <v>34375</v>
      </c>
      <c r="J35" s="27">
        <f>'Forecast Income Statements'!J9+'Forecast Income Statements'!I22</f>
        <v>19500</v>
      </c>
      <c r="K35" s="27">
        <f>'Forecast Income Statements'!K9+'Forecast Income Statements'!K22</f>
        <v>9750</v>
      </c>
      <c r="L35" s="27">
        <f>'Forecast Income Statements'!L9+'Forecast Income Statements'!L22</f>
        <v>4875</v>
      </c>
      <c r="M35" s="27">
        <f>'Forecast Income Statements'!M9+'Forecast Income Statements'!M22</f>
        <v>0</v>
      </c>
      <c r="N35" s="27">
        <f>'Forecast Income Statements'!N9+'Forecast Income Statements'!N22</f>
        <v>0</v>
      </c>
      <c r="O35" s="27">
        <f>'Forecast Income Statements'!O9+'Forecast Income Statements'!O22</f>
        <v>0</v>
      </c>
      <c r="P35" s="27">
        <f>'Forecast Income Statements'!P9+'Forecast Income Statements'!P22</f>
        <v>0</v>
      </c>
      <c r="Q35" s="27">
        <f>'Forecast Income Statements'!Q9+'Forecast Income Statements'!Q22</f>
        <v>0</v>
      </c>
      <c r="R35" s="28">
        <f>'Forecast Income Statements'!R9+'Forecast Income Statements'!R22</f>
        <v>0</v>
      </c>
    </row>
    <row r="36" spans="2:18" x14ac:dyDescent="0.2">
      <c r="B36" s="26" t="s">
        <v>27</v>
      </c>
      <c r="D36" s="33">
        <f>'Forecast Income Statements'!D10+'Forecast Income Statements'!D23</f>
        <v>180000</v>
      </c>
      <c r="E36" s="33">
        <f>'Forecast Income Statements'!E10+'Forecast Income Statements'!E23</f>
        <v>401000</v>
      </c>
      <c r="F36" s="33">
        <f>'Forecast Income Statements'!F10+'Forecast Income Statements'!F23</f>
        <v>415875</v>
      </c>
      <c r="G36" s="33">
        <f>'Forecast Income Statements'!G10+'Forecast Income Statements'!G23</f>
        <v>430750</v>
      </c>
      <c r="H36" s="33">
        <f>'Forecast Income Statements'!H10+'Forecast Income Statements'!H23</f>
        <v>445625</v>
      </c>
      <c r="I36" s="33">
        <f>'Forecast Income Statements'!I10+'Forecast Income Statements'!I23</f>
        <v>460500</v>
      </c>
      <c r="J36" s="33">
        <f>'Forecast Income Statements'!J10+'Forecast Income Statements'!J23</f>
        <v>475375</v>
      </c>
      <c r="K36" s="33">
        <f>'Forecast Income Statements'!K10+'Forecast Income Statements'!K23</f>
        <v>480250</v>
      </c>
      <c r="L36" s="33">
        <f>'Forecast Income Statements'!L10+'Forecast Income Statements'!L23</f>
        <v>485125</v>
      </c>
      <c r="M36" s="33">
        <f>'Forecast Income Statements'!M10+'Forecast Income Statements'!M23</f>
        <v>490000</v>
      </c>
      <c r="N36" s="33">
        <f>'Forecast Income Statements'!N10+'Forecast Income Statements'!N23</f>
        <v>490000</v>
      </c>
      <c r="O36" s="33">
        <f>'Forecast Income Statements'!O10+'Forecast Income Statements'!O23</f>
        <v>490000</v>
      </c>
      <c r="P36" s="33">
        <f>'Forecast Income Statements'!P10+'Forecast Income Statements'!P23</f>
        <v>490000</v>
      </c>
      <c r="Q36" s="33">
        <f>'Forecast Income Statements'!Q10+'Forecast Income Statements'!Q23</f>
        <v>490000</v>
      </c>
      <c r="R36" s="34">
        <f>'Forecast Income Statements'!R10+'Forecast Income Statements'!R23</f>
        <v>490000</v>
      </c>
    </row>
    <row r="37" spans="2:18" x14ac:dyDescent="0.2">
      <c r="B37" s="45"/>
      <c r="C37" s="46"/>
      <c r="D37" s="27"/>
      <c r="E37" s="27"/>
      <c r="F37" s="27"/>
      <c r="G37" s="27"/>
      <c r="H37" s="27"/>
      <c r="I37" s="27"/>
      <c r="J37" s="27"/>
      <c r="K37" s="27"/>
      <c r="L37" s="27"/>
      <c r="M37" s="27"/>
      <c r="N37" s="27"/>
      <c r="O37" s="27"/>
      <c r="P37" s="27"/>
      <c r="Q37" s="27"/>
      <c r="R37" s="28"/>
    </row>
    <row r="38" spans="2:18" x14ac:dyDescent="0.2">
      <c r="B38" s="26" t="s">
        <v>75</v>
      </c>
      <c r="D38" s="27">
        <f>'Forecast Income Statements'!D12+'Forecast Income Statements'!D25</f>
        <v>100000</v>
      </c>
      <c r="E38" s="27">
        <f>'Forecast Income Statements'!E12+'Forecast Income Statements'!E25</f>
        <v>181250</v>
      </c>
      <c r="F38" s="27">
        <f>'Forecast Income Statements'!F12+'Forecast Income Statements'!F25</f>
        <v>181250</v>
      </c>
      <c r="G38" s="27">
        <f>'Forecast Income Statements'!G12+'Forecast Income Statements'!G25</f>
        <v>181250</v>
      </c>
      <c r="H38" s="27">
        <f>'Forecast Income Statements'!H12+'Forecast Income Statements'!H25</f>
        <v>181250</v>
      </c>
      <c r="I38" s="27">
        <f>'Forecast Income Statements'!I12+'Forecast Income Statements'!I25</f>
        <v>181250</v>
      </c>
      <c r="J38" s="27">
        <f>'Forecast Income Statements'!J12+'Forecast Income Statements'!J25</f>
        <v>81250</v>
      </c>
      <c r="K38" s="27">
        <f>'Forecast Income Statements'!K12+'Forecast Income Statements'!K25</f>
        <v>81250</v>
      </c>
      <c r="L38" s="27">
        <f>'Forecast Income Statements'!L12+'Forecast Income Statements'!L25</f>
        <v>81250</v>
      </c>
      <c r="M38" s="27">
        <f>'Forecast Income Statements'!M12+'Forecast Income Statements'!M25</f>
        <v>0</v>
      </c>
      <c r="N38" s="27">
        <f>'Forecast Income Statements'!N12+'Forecast Income Statements'!N25</f>
        <v>0</v>
      </c>
      <c r="O38" s="27">
        <f>'Forecast Income Statements'!O12+'Forecast Income Statements'!O25</f>
        <v>0</v>
      </c>
      <c r="P38" s="27">
        <f>'Forecast Income Statements'!P12+'Forecast Income Statements'!P25</f>
        <v>0</v>
      </c>
      <c r="Q38" s="27">
        <f>'Forecast Income Statements'!Q12+'Forecast Income Statements'!Q25</f>
        <v>0</v>
      </c>
      <c r="R38" s="28">
        <f>'Forecast Income Statements'!R12+'Forecast Income Statements'!R25</f>
        <v>0</v>
      </c>
    </row>
    <row r="39" spans="2:18" ht="13.5" thickBot="1" x14ac:dyDescent="0.25">
      <c r="B39" s="35" t="s">
        <v>65</v>
      </c>
      <c r="C39" s="47"/>
      <c r="D39" s="48" t="str">
        <f t="shared" ref="D39:R39" si="12">IF(D38=0,"",IF(D38&gt;D36,"Not Covered", TEXT(D36/D38,"#.##")))</f>
        <v>1.8</v>
      </c>
      <c r="E39" s="48" t="str">
        <f t="shared" si="12"/>
        <v>2.21</v>
      </c>
      <c r="F39" s="48" t="str">
        <f t="shared" si="12"/>
        <v>2.29</v>
      </c>
      <c r="G39" s="48" t="str">
        <f t="shared" si="12"/>
        <v>2.38</v>
      </c>
      <c r="H39" s="48" t="str">
        <f t="shared" si="12"/>
        <v>2.46</v>
      </c>
      <c r="I39" s="48" t="str">
        <f t="shared" si="12"/>
        <v>2.54</v>
      </c>
      <c r="J39" s="48" t="str">
        <f t="shared" si="12"/>
        <v>5.85</v>
      </c>
      <c r="K39" s="48" t="str">
        <f t="shared" si="12"/>
        <v>5.91</v>
      </c>
      <c r="L39" s="48" t="str">
        <f t="shared" si="12"/>
        <v>5.97</v>
      </c>
      <c r="M39" s="48" t="str">
        <f t="shared" si="12"/>
        <v/>
      </c>
      <c r="N39" s="48" t="str">
        <f t="shared" si="12"/>
        <v/>
      </c>
      <c r="O39" s="48" t="str">
        <f t="shared" si="12"/>
        <v/>
      </c>
      <c r="P39" s="48" t="str">
        <f t="shared" si="12"/>
        <v/>
      </c>
      <c r="Q39" s="48" t="str">
        <f t="shared" si="12"/>
        <v/>
      </c>
      <c r="R39" s="49" t="str">
        <f t="shared" si="12"/>
        <v/>
      </c>
    </row>
    <row r="40" spans="2:18" s="21" customFormat="1" x14ac:dyDescent="0.2"/>
  </sheetData>
  <sheetProtection algorithmName="SHA-512" hashValue="/7zoH+Dj0S6Y0klkOdw8gQDoWZP7qjtnybzfi1QVAXVVP8m5tN8jgxc5EtR4xAjR6Y7u/6WtoR/wD/tCsLxcSw==" saltValue="pxKLjQ+aCvL0MX5uRl7Tsw==" spinCount="100000" sheet="1" objects="1" scenarios="1"/>
  <mergeCells count="3">
    <mergeCell ref="D2:F2"/>
    <mergeCell ref="H2:P2"/>
    <mergeCell ref="Q2:R2"/>
  </mergeCells>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4ff802-0413-40b9-a599-cab40e01aba9">
      <Terms xmlns="http://schemas.microsoft.com/office/infopath/2007/PartnerControls"/>
    </lcf76f155ced4ddcb4097134ff3c332f>
    <TaxCatchAll xmlns="7282d4bb-2054-4887-8c3b-ab391db5e8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B0C3581EDDB64A9F623E2EB2D7406E" ma:contentTypeVersion="12" ma:contentTypeDescription="Create a new document." ma:contentTypeScope="" ma:versionID="7b0f72bfc4e1e5a48e42f39445583db1">
  <xsd:schema xmlns:xsd="http://www.w3.org/2001/XMLSchema" xmlns:xs="http://www.w3.org/2001/XMLSchema" xmlns:p="http://schemas.microsoft.com/office/2006/metadata/properties" xmlns:ns2="7f4ff802-0413-40b9-a599-cab40e01aba9" xmlns:ns3="7282d4bb-2054-4887-8c3b-ab391db5e80b" targetNamespace="http://schemas.microsoft.com/office/2006/metadata/properties" ma:root="true" ma:fieldsID="0a4c9aef57b37879dd78e34d09e290c7" ns2:_="" ns3:_="">
    <xsd:import namespace="7f4ff802-0413-40b9-a599-cab40e01aba9"/>
    <xsd:import namespace="7282d4bb-2054-4887-8c3b-ab391db5e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ff802-0413-40b9-a599-cab40e01a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82d4bb-2054-4887-8c3b-ab391db5e8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e056da4-e9ea-4549-ae49-547f8ee07f25}" ma:internalName="TaxCatchAll" ma:showField="CatchAllData" ma:web="7282d4bb-2054-4887-8c3b-ab391db5e8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64A5AF-AD4B-4E41-B5F6-C97A22A6F14C}">
  <ds:schemaRefs>
    <ds:schemaRef ds:uri="http://purl.org/dc/terms/"/>
    <ds:schemaRef ds:uri="http://www.w3.org/XML/1998/namespace"/>
    <ds:schemaRef ds:uri="http://schemas.microsoft.com/office/infopath/2007/PartnerControls"/>
    <ds:schemaRef ds:uri="7282d4bb-2054-4887-8c3b-ab391db5e80b"/>
    <ds:schemaRef ds:uri="http://schemas.microsoft.com/office/2006/documentManagement/types"/>
    <ds:schemaRef ds:uri="http://schemas.openxmlformats.org/package/2006/metadata/core-properties"/>
    <ds:schemaRef ds:uri="http://purl.org/dc/elements/1.1/"/>
    <ds:schemaRef ds:uri="http://purl.org/dc/dcmitype/"/>
    <ds:schemaRef ds:uri="7f4ff802-0413-40b9-a599-cab40e01aba9"/>
    <ds:schemaRef ds:uri="http://schemas.microsoft.com/office/2006/metadata/properties"/>
  </ds:schemaRefs>
</ds:datastoreItem>
</file>

<file path=customXml/itemProps2.xml><?xml version="1.0" encoding="utf-8"?>
<ds:datastoreItem xmlns:ds="http://schemas.openxmlformats.org/officeDocument/2006/customXml" ds:itemID="{9B5E0D47-F7C9-4CCB-952A-DA28D7ED689F}">
  <ds:schemaRefs>
    <ds:schemaRef ds:uri="http://schemas.microsoft.com/sharepoint/v3/contenttype/forms"/>
  </ds:schemaRefs>
</ds:datastoreItem>
</file>

<file path=customXml/itemProps3.xml><?xml version="1.0" encoding="utf-8"?>
<ds:datastoreItem xmlns:ds="http://schemas.openxmlformats.org/officeDocument/2006/customXml" ds:itemID="{B428CE57-BC99-44B9-BC07-A37A5463A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4ff802-0413-40b9-a599-cab40e01aba9"/>
    <ds:schemaRef ds:uri="7282d4bb-2054-4887-8c3b-ab391db5e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Purpose and Disclaimer</vt:lpstr>
      <vt:lpstr>Key inputs and assumptions</vt:lpstr>
      <vt:lpstr>Forecast Income Statements</vt:lpstr>
    </vt:vector>
  </TitlesOfParts>
  <Company>Ministry of Business, Innovation and Employment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Model template - Illustrative example - Generic</dc:title>
  <dc:creator>Ministry of Business, Innovation and Employment</dc:creator>
  <cp:lastModifiedBy>Kerris O'Donoghue</cp:lastModifiedBy>
  <dcterms:created xsi:type="dcterms:W3CDTF">2023-07-05T04:49:57Z</dcterms:created>
  <dcterms:modified xsi:type="dcterms:W3CDTF">2023-07-28T02:48:23Z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2023-07-05T21:01:41Z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185af168-03f6-4ceb-8ffe-92b303fab442</vt:lpwstr>
  </property>
  <property fmtid="{D5CDD505-2E9C-101B-9397-08002B2CF9AE}" pid="8" name="MSIP_Label_738466f7-346c-47bb-a4d2-4a6558d61975_ContentBits">
    <vt:lpwstr>0</vt:lpwstr>
  </property>
  <property fmtid="{D5CDD505-2E9C-101B-9397-08002B2CF9AE}" pid="9" name="ContentTypeId">
    <vt:lpwstr>0x010100EBB0C3581EDDB64A9F623E2EB2D7406E</vt:lpwstr>
  </property>
</Properties>
</file>